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comments4.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LS\Documents\ALS_Desk\SaveET_Final Meeting\"/>
    </mc:Choice>
  </mc:AlternateContent>
  <xr:revisionPtr revIDLastSave="0" documentId="13_ncr:1_{E23306C5-FBAD-4C6B-B215-8A286D2B2480}" xr6:coauthVersionLast="47" xr6:coauthVersionMax="47" xr10:uidLastSave="{00000000-0000-0000-0000-000000000000}"/>
  <bookViews>
    <workbookView xWindow="-120" yWindow="-120" windowWidth="38640" windowHeight="21120" tabRatio="742" xr2:uid="{00000000-000D-0000-FFFF-FFFF00000000}"/>
  </bookViews>
  <sheets>
    <sheet name="Overview" sheetId="37" r:id="rId1"/>
    <sheet name="Data Input" sheetId="41" r:id="rId2"/>
    <sheet name="Campaign Input" sheetId="40" r:id="rId3"/>
    <sheet name="Dropdowns" sheetId="36" state="hidden" r:id="rId4"/>
    <sheet name="Model homes" sheetId="29" state="hidden" r:id="rId5"/>
    <sheet name="nrg_bal_peh" sheetId="51" state="hidden" r:id="rId6"/>
    <sheet name="SPH_temp_behav" sheetId="34" state="hidden" r:id="rId7"/>
    <sheet name="SPH_VL_Seal" sheetId="31" state="hidden" r:id="rId8"/>
    <sheet name="SPH_Pipe_insul" sheetId="32" state="hidden" r:id="rId9"/>
    <sheet name="SPH_TL_UC" sheetId="30" state="hidden" r:id="rId10"/>
    <sheet name="DHW_Pipe_insul" sheetId="33" state="hidden" r:id="rId11"/>
    <sheet name="DHW_shower vs. bath" sheetId="49" state="hidden" r:id="rId12"/>
    <sheet name="DHW_lowered shower-time" sheetId="50" state="hidden" r:id="rId13"/>
    <sheet name="DHW_dish_washer vs. hand" sheetId="47" state="hidden" r:id="rId14"/>
    <sheet name="DHW_cold vs. warm" sheetId="48" state="hidden" r:id="rId15"/>
    <sheet name="DHW_small_invest" sheetId="45" state="hidden" r:id="rId16"/>
    <sheet name="eDevices_general+behavior" sheetId="35" state="hidden" r:id="rId17"/>
    <sheet name="eDevices_small_invest" sheetId="43" state="hidden" r:id="rId18"/>
    <sheet name="eDevices_high_invest" sheetId="44" state="hidden"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8" i="44" l="1"/>
  <c r="L351" i="29" l="1"/>
  <c r="C36" i="36"/>
  <c r="C37" i="36"/>
  <c r="C38" i="36"/>
  <c r="C34" i="36"/>
  <c r="C35" i="36"/>
  <c r="J12" i="40"/>
  <c r="C35" i="41"/>
  <c r="D35" i="41" s="1"/>
  <c r="C36" i="41"/>
  <c r="D36" i="41" s="1"/>
  <c r="C37" i="41"/>
  <c r="D37" i="41" s="1"/>
  <c r="C38" i="41"/>
  <c r="D38" i="41" s="1"/>
  <c r="C39" i="41"/>
  <c r="D39" i="41" s="1"/>
  <c r="C40" i="41"/>
  <c r="D40" i="41" s="1"/>
  <c r="C41" i="41"/>
  <c r="D41" i="41" s="1"/>
  <c r="C34" i="41"/>
  <c r="D34" i="41" s="1"/>
  <c r="K233" i="29"/>
  <c r="L36" i="40" l="1"/>
  <c r="J27" i="40"/>
  <c r="J30" i="40"/>
  <c r="J29" i="40"/>
  <c r="J28" i="40"/>
  <c r="J38" i="40"/>
  <c r="J37" i="40"/>
  <c r="I37" i="40"/>
  <c r="J36" i="40"/>
  <c r="I41" i="40"/>
  <c r="L35" i="40"/>
  <c r="L39" i="40"/>
  <c r="L38" i="40"/>
  <c r="L37" i="40"/>
  <c r="J41" i="40"/>
  <c r="L30" i="40"/>
  <c r="J35" i="40"/>
  <c r="L27" i="40"/>
  <c r="J40" i="40"/>
  <c r="L29" i="40"/>
  <c r="J39" i="40"/>
  <c r="L28" i="40"/>
  <c r="I35" i="40"/>
  <c r="L41" i="40"/>
  <c r="L21" i="40"/>
  <c r="I36" i="40"/>
  <c r="L40" i="40"/>
  <c r="J21" i="40"/>
  <c r="I38" i="40"/>
  <c r="I39" i="40"/>
  <c r="I40" i="40"/>
  <c r="I29" i="40"/>
  <c r="C63" i="41"/>
  <c r="J117" i="29" l="1"/>
  <c r="G240" i="29"/>
  <c r="H240" i="29"/>
  <c r="Z43" i="51" l="1"/>
  <c r="E34" i="35" l="1"/>
  <c r="E127" i="29" l="1"/>
  <c r="G127" i="29" s="1"/>
  <c r="C170" i="43"/>
  <c r="J262" i="29"/>
  <c r="J260" i="29"/>
  <c r="J259" i="29"/>
  <c r="J263" i="29"/>
  <c r="C241" i="44"/>
  <c r="C240" i="44"/>
  <c r="C239" i="44"/>
  <c r="C238" i="44"/>
  <c r="C237" i="44"/>
  <c r="C236" i="44"/>
  <c r="C244" i="44" s="1"/>
  <c r="C260" i="44" s="1"/>
  <c r="C268" i="44" s="1"/>
  <c r="C225" i="44"/>
  <c r="C224" i="44"/>
  <c r="C223" i="44"/>
  <c r="C222" i="44"/>
  <c r="C221" i="44"/>
  <c r="C220" i="44"/>
  <c r="C131" i="43"/>
  <c r="C130" i="43"/>
  <c r="C129" i="43"/>
  <c r="C193" i="44"/>
  <c r="C192" i="44"/>
  <c r="C191" i="44"/>
  <c r="C190" i="44"/>
  <c r="C189" i="44"/>
  <c r="C188" i="44"/>
  <c r="C174" i="44"/>
  <c r="C173" i="44"/>
  <c r="C172" i="44"/>
  <c r="C171" i="44"/>
  <c r="C170" i="44"/>
  <c r="C169" i="44"/>
  <c r="E166" i="44"/>
  <c r="C166" i="43"/>
  <c r="C176" i="43" s="1"/>
  <c r="C181" i="43" s="1"/>
  <c r="C165" i="43"/>
  <c r="C175" i="43" s="1"/>
  <c r="C180" i="43" s="1"/>
  <c r="C164" i="43"/>
  <c r="C174" i="43" s="1"/>
  <c r="C179" i="43" s="1"/>
  <c r="C117" i="43"/>
  <c r="C118" i="43"/>
  <c r="C116" i="43"/>
  <c r="E113" i="43"/>
  <c r="E127" i="35"/>
  <c r="J130" i="35" s="1"/>
  <c r="J131" i="35" s="1"/>
  <c r="J132" i="35" s="1"/>
  <c r="J133" i="35" s="1"/>
  <c r="J134" i="35" s="1"/>
  <c r="J135" i="35" s="1"/>
  <c r="J136" i="35" s="1"/>
  <c r="E66" i="35"/>
  <c r="F66" i="35" s="1"/>
  <c r="G66" i="35" s="1"/>
  <c r="H66" i="35" s="1"/>
  <c r="F67" i="35"/>
  <c r="G67" i="35" s="1"/>
  <c r="H67" i="35" s="1"/>
  <c r="C252" i="44" l="1"/>
  <c r="C171" i="43"/>
  <c r="C169" i="43"/>
  <c r="J101" i="35"/>
  <c r="J102" i="35" s="1"/>
  <c r="J103" i="35" s="1"/>
  <c r="J104" i="35" s="1"/>
  <c r="J105" i="35" s="1"/>
  <c r="J106" i="35" s="1"/>
  <c r="J107" i="35" s="1"/>
  <c r="E162" i="33" l="1"/>
  <c r="E119" i="45"/>
  <c r="J124" i="45" s="1"/>
  <c r="E75" i="50"/>
  <c r="H13" i="50"/>
  <c r="G13" i="50"/>
  <c r="F13" i="50"/>
  <c r="E13" i="50"/>
  <c r="J47" i="50" s="1"/>
  <c r="J44" i="50" l="1"/>
  <c r="J45" i="50"/>
  <c r="J49" i="50"/>
  <c r="J50" i="50"/>
  <c r="J43" i="50"/>
  <c r="J84" i="50"/>
  <c r="J79" i="50"/>
  <c r="J78" i="50"/>
  <c r="J123" i="45"/>
  <c r="J122" i="45"/>
  <c r="J129" i="45"/>
  <c r="J128" i="45"/>
  <c r="J127" i="45"/>
  <c r="J126" i="45"/>
  <c r="J125" i="45"/>
  <c r="J82" i="50"/>
  <c r="J80" i="50"/>
  <c r="J85" i="50"/>
  <c r="J83" i="50"/>
  <c r="J81" i="50"/>
  <c r="J48" i="50"/>
  <c r="J46" i="50"/>
  <c r="E75" i="49"/>
  <c r="J78" i="49" s="1"/>
  <c r="H13" i="49"/>
  <c r="G13" i="49"/>
  <c r="F13" i="49"/>
  <c r="E13" i="49"/>
  <c r="J264" i="29"/>
  <c r="J245" i="29"/>
  <c r="J116" i="29"/>
  <c r="J115" i="29"/>
  <c r="J114" i="29"/>
  <c r="J113" i="29"/>
  <c r="J249" i="29"/>
  <c r="J248" i="29"/>
  <c r="J246" i="29"/>
  <c r="E75" i="48"/>
  <c r="H13" i="48"/>
  <c r="G13" i="48"/>
  <c r="F13" i="48"/>
  <c r="E13" i="48"/>
  <c r="J46" i="48" s="1"/>
  <c r="E75" i="47"/>
  <c r="J81" i="47" s="1"/>
  <c r="E145" i="33"/>
  <c r="J152" i="33" s="1"/>
  <c r="E141" i="34"/>
  <c r="J147" i="34" s="1"/>
  <c r="E143" i="31"/>
  <c r="J149" i="31" s="1"/>
  <c r="E145" i="32"/>
  <c r="J153" i="32" s="1"/>
  <c r="E136" i="30"/>
  <c r="G176" i="29"/>
  <c r="J351" i="29"/>
  <c r="J352" i="29"/>
  <c r="J353" i="29"/>
  <c r="J354" i="29"/>
  <c r="J355" i="29"/>
  <c r="F13" i="47"/>
  <c r="G13" i="47"/>
  <c r="H13" i="47"/>
  <c r="E13" i="47"/>
  <c r="J45" i="47" s="1"/>
  <c r="F38" i="44"/>
  <c r="G38" i="44"/>
  <c r="H38" i="44"/>
  <c r="E38" i="44"/>
  <c r="J169" i="44" s="1"/>
  <c r="F51" i="44"/>
  <c r="G51" i="44"/>
  <c r="H51" i="44"/>
  <c r="E51" i="44"/>
  <c r="J170" i="44" s="1"/>
  <c r="F66" i="44"/>
  <c r="G66" i="44"/>
  <c r="H66" i="44"/>
  <c r="E66" i="44"/>
  <c r="J171" i="44" s="1"/>
  <c r="F81" i="44"/>
  <c r="G81" i="44"/>
  <c r="H81" i="44"/>
  <c r="E81" i="44"/>
  <c r="J172" i="44" s="1"/>
  <c r="F111" i="44"/>
  <c r="G111" i="44"/>
  <c r="H111" i="44"/>
  <c r="E111" i="44"/>
  <c r="J174" i="44" s="1"/>
  <c r="F96" i="44"/>
  <c r="G96" i="44"/>
  <c r="H96" i="44"/>
  <c r="E96" i="44"/>
  <c r="J173" i="44" s="1"/>
  <c r="F76" i="43"/>
  <c r="G76" i="43"/>
  <c r="H76" i="43"/>
  <c r="E76" i="43"/>
  <c r="J118" i="43" s="1"/>
  <c r="F35" i="45"/>
  <c r="G35" i="45"/>
  <c r="H35" i="45"/>
  <c r="E35" i="45"/>
  <c r="J61" i="45" s="1"/>
  <c r="F68" i="34"/>
  <c r="G68" i="34"/>
  <c r="H68" i="34"/>
  <c r="E68" i="34"/>
  <c r="J83" i="34" s="1"/>
  <c r="F70" i="31"/>
  <c r="G70" i="31"/>
  <c r="H70" i="31"/>
  <c r="E70" i="31"/>
  <c r="F72" i="32"/>
  <c r="G72" i="32"/>
  <c r="H72" i="32"/>
  <c r="E72" i="32"/>
  <c r="F63" i="30"/>
  <c r="G63" i="30"/>
  <c r="H63" i="30"/>
  <c r="E63" i="30"/>
  <c r="J78" i="30" s="1"/>
  <c r="F72" i="33"/>
  <c r="G72" i="33"/>
  <c r="H72" i="33"/>
  <c r="E72" i="33"/>
  <c r="J87" i="33" s="1"/>
  <c r="E276" i="32"/>
  <c r="E228" i="32"/>
  <c r="E192" i="32"/>
  <c r="F216" i="32"/>
  <c r="G216" i="32"/>
  <c r="H216" i="32"/>
  <c r="E216" i="32"/>
  <c r="E158" i="34"/>
  <c r="C201" i="44"/>
  <c r="C200" i="44"/>
  <c r="C199" i="44"/>
  <c r="C198" i="44"/>
  <c r="C197" i="44"/>
  <c r="C196" i="44"/>
  <c r="F180" i="44"/>
  <c r="G180" i="44"/>
  <c r="H180" i="44"/>
  <c r="F181" i="44"/>
  <c r="G181" i="44"/>
  <c r="H181" i="44"/>
  <c r="F182" i="44"/>
  <c r="G182" i="44"/>
  <c r="H182" i="44"/>
  <c r="F183" i="44"/>
  <c r="G183" i="44"/>
  <c r="H183" i="44"/>
  <c r="F184" i="44"/>
  <c r="G184" i="44"/>
  <c r="H184" i="44"/>
  <c r="F185" i="44"/>
  <c r="G185" i="44"/>
  <c r="H185" i="44"/>
  <c r="E181" i="44"/>
  <c r="E182" i="44"/>
  <c r="E183" i="44"/>
  <c r="E184" i="44"/>
  <c r="E185" i="44"/>
  <c r="E180" i="44"/>
  <c r="F124" i="43"/>
  <c r="G124" i="43"/>
  <c r="H124" i="43"/>
  <c r="F125" i="43"/>
  <c r="G125" i="43"/>
  <c r="H125" i="43"/>
  <c r="F126" i="43"/>
  <c r="G126" i="43"/>
  <c r="H126" i="43"/>
  <c r="E125" i="43"/>
  <c r="E126" i="43"/>
  <c r="E124" i="43"/>
  <c r="E143" i="35"/>
  <c r="F143" i="35"/>
  <c r="G143" i="35"/>
  <c r="H143" i="35"/>
  <c r="E144" i="35"/>
  <c r="F144" i="35"/>
  <c r="G144" i="35"/>
  <c r="H144" i="35"/>
  <c r="E145" i="35"/>
  <c r="F145" i="35"/>
  <c r="G145" i="35"/>
  <c r="H145" i="35"/>
  <c r="E146" i="35"/>
  <c r="F146" i="35"/>
  <c r="G146" i="35"/>
  <c r="H146" i="35"/>
  <c r="E147" i="35"/>
  <c r="F147" i="35"/>
  <c r="G147" i="35"/>
  <c r="H147" i="35"/>
  <c r="E148" i="35"/>
  <c r="F148" i="35"/>
  <c r="G148" i="35"/>
  <c r="H148" i="35"/>
  <c r="F142" i="35"/>
  <c r="G142" i="35"/>
  <c r="H142" i="35"/>
  <c r="E142" i="35"/>
  <c r="F136" i="45"/>
  <c r="G136" i="45"/>
  <c r="H136" i="45"/>
  <c r="F137" i="45"/>
  <c r="G137" i="45"/>
  <c r="H137" i="45"/>
  <c r="F138" i="45"/>
  <c r="G138" i="45"/>
  <c r="H138" i="45"/>
  <c r="F139" i="45"/>
  <c r="G139" i="45"/>
  <c r="H139" i="45"/>
  <c r="F140" i="45"/>
  <c r="G140" i="45"/>
  <c r="H140" i="45"/>
  <c r="F141" i="45"/>
  <c r="G141" i="45"/>
  <c r="H141" i="45"/>
  <c r="F142" i="45"/>
  <c r="G142" i="45"/>
  <c r="H142" i="45"/>
  <c r="F143" i="45"/>
  <c r="G143" i="45"/>
  <c r="H143" i="45"/>
  <c r="F144" i="45"/>
  <c r="G144" i="45"/>
  <c r="H144" i="45"/>
  <c r="E137" i="45"/>
  <c r="E138" i="45"/>
  <c r="E139" i="45"/>
  <c r="E140" i="45"/>
  <c r="E141" i="45"/>
  <c r="E142" i="45"/>
  <c r="E143" i="45"/>
  <c r="E144" i="45"/>
  <c r="E136" i="45"/>
  <c r="F92" i="50"/>
  <c r="G92" i="50"/>
  <c r="H92" i="50"/>
  <c r="F93" i="50"/>
  <c r="G93" i="50"/>
  <c r="H93" i="50"/>
  <c r="F94" i="50"/>
  <c r="G94" i="50"/>
  <c r="H94" i="50"/>
  <c r="F95" i="50"/>
  <c r="G95" i="50"/>
  <c r="H95" i="50"/>
  <c r="F96" i="50"/>
  <c r="G96" i="50"/>
  <c r="H96" i="50"/>
  <c r="F97" i="50"/>
  <c r="G97" i="50"/>
  <c r="H97" i="50"/>
  <c r="F98" i="50"/>
  <c r="G98" i="50"/>
  <c r="H98" i="50"/>
  <c r="F99" i="50"/>
  <c r="G99" i="50"/>
  <c r="H99" i="50"/>
  <c r="F100" i="50"/>
  <c r="G100" i="50"/>
  <c r="H100" i="50"/>
  <c r="E93" i="50"/>
  <c r="E94" i="50"/>
  <c r="E95" i="50"/>
  <c r="E96" i="50"/>
  <c r="E97" i="50"/>
  <c r="E98" i="50"/>
  <c r="E99" i="50"/>
  <c r="E100" i="50"/>
  <c r="E92" i="50"/>
  <c r="F92" i="49"/>
  <c r="G92" i="49"/>
  <c r="H92" i="49"/>
  <c r="F93" i="49"/>
  <c r="G93" i="49"/>
  <c r="H93" i="49"/>
  <c r="F94" i="49"/>
  <c r="G94" i="49"/>
  <c r="H94" i="49"/>
  <c r="F95" i="49"/>
  <c r="G95" i="49"/>
  <c r="H95" i="49"/>
  <c r="F96" i="49"/>
  <c r="G96" i="49"/>
  <c r="H96" i="49"/>
  <c r="F97" i="49"/>
  <c r="G97" i="49"/>
  <c r="H97" i="49"/>
  <c r="F98" i="49"/>
  <c r="G98" i="49"/>
  <c r="H98" i="49"/>
  <c r="F99" i="49"/>
  <c r="G99" i="49"/>
  <c r="H99" i="49"/>
  <c r="F100" i="49"/>
  <c r="G100" i="49"/>
  <c r="H100" i="49"/>
  <c r="E93" i="49"/>
  <c r="E94" i="49"/>
  <c r="E95" i="49"/>
  <c r="E96" i="49"/>
  <c r="E97" i="49"/>
  <c r="E98" i="49"/>
  <c r="E99" i="49"/>
  <c r="E100" i="49"/>
  <c r="E92" i="49"/>
  <c r="F92" i="48"/>
  <c r="G92" i="48"/>
  <c r="H92" i="48"/>
  <c r="F93" i="48"/>
  <c r="G93" i="48"/>
  <c r="H93" i="48"/>
  <c r="F94" i="48"/>
  <c r="G94" i="48"/>
  <c r="H94" i="48"/>
  <c r="F95" i="48"/>
  <c r="G95" i="48"/>
  <c r="H95" i="48"/>
  <c r="F96" i="48"/>
  <c r="G96" i="48"/>
  <c r="H96" i="48"/>
  <c r="F97" i="48"/>
  <c r="G97" i="48"/>
  <c r="H97" i="48"/>
  <c r="F98" i="48"/>
  <c r="G98" i="48"/>
  <c r="H98" i="48"/>
  <c r="F99" i="48"/>
  <c r="G99" i="48"/>
  <c r="H99" i="48"/>
  <c r="F100" i="48"/>
  <c r="G100" i="48"/>
  <c r="H100" i="48"/>
  <c r="E93" i="48"/>
  <c r="E94" i="48"/>
  <c r="E95" i="48"/>
  <c r="E96" i="48"/>
  <c r="E97" i="48"/>
  <c r="E98" i="48"/>
  <c r="E99" i="48"/>
  <c r="E100" i="48"/>
  <c r="E92" i="48"/>
  <c r="F92" i="47"/>
  <c r="G92" i="47"/>
  <c r="H92" i="47"/>
  <c r="F93" i="47"/>
  <c r="G93" i="47"/>
  <c r="H93" i="47"/>
  <c r="F94" i="47"/>
  <c r="G94" i="47"/>
  <c r="H94" i="47"/>
  <c r="F95" i="47"/>
  <c r="G95" i="47"/>
  <c r="H95" i="47"/>
  <c r="F96" i="47"/>
  <c r="G96" i="47"/>
  <c r="H96" i="47"/>
  <c r="F97" i="47"/>
  <c r="G97" i="47"/>
  <c r="H97" i="47"/>
  <c r="F98" i="47"/>
  <c r="G98" i="47"/>
  <c r="H98" i="47"/>
  <c r="F99" i="47"/>
  <c r="G99" i="47"/>
  <c r="H99" i="47"/>
  <c r="F100" i="47"/>
  <c r="G100" i="47"/>
  <c r="H100" i="47"/>
  <c r="E93" i="47"/>
  <c r="E94" i="47"/>
  <c r="E95" i="47"/>
  <c r="E96" i="47"/>
  <c r="E97" i="47"/>
  <c r="E98" i="47"/>
  <c r="E99" i="47"/>
  <c r="E100" i="47"/>
  <c r="E92" i="47"/>
  <c r="H170" i="33"/>
  <c r="G170" i="33"/>
  <c r="F170" i="33"/>
  <c r="E170" i="33"/>
  <c r="F162" i="33"/>
  <c r="G162" i="33"/>
  <c r="H162" i="33"/>
  <c r="F163" i="33"/>
  <c r="G163" i="33"/>
  <c r="H163" i="33"/>
  <c r="F164" i="33"/>
  <c r="G164" i="33"/>
  <c r="H164" i="33"/>
  <c r="F165" i="33"/>
  <c r="G165" i="33"/>
  <c r="H165" i="33"/>
  <c r="F166" i="33"/>
  <c r="G166" i="33"/>
  <c r="H166" i="33"/>
  <c r="F167" i="33"/>
  <c r="G167" i="33"/>
  <c r="H167" i="33"/>
  <c r="F168" i="33"/>
  <c r="G168" i="33"/>
  <c r="H168" i="33"/>
  <c r="E163" i="33"/>
  <c r="E164" i="33"/>
  <c r="E165" i="33"/>
  <c r="E166" i="33"/>
  <c r="E167" i="33"/>
  <c r="E168" i="33"/>
  <c r="H170" i="32"/>
  <c r="G170" i="32"/>
  <c r="F170" i="32"/>
  <c r="E170" i="32"/>
  <c r="F162" i="32"/>
  <c r="G162" i="32"/>
  <c r="H162" i="32"/>
  <c r="F163" i="32"/>
  <c r="G163" i="32"/>
  <c r="H163" i="32"/>
  <c r="F164" i="32"/>
  <c r="G164" i="32"/>
  <c r="H164" i="32"/>
  <c r="F165" i="32"/>
  <c r="G165" i="32"/>
  <c r="H165" i="32"/>
  <c r="F166" i="32"/>
  <c r="G166" i="32"/>
  <c r="H166" i="32"/>
  <c r="F167" i="32"/>
  <c r="G167" i="32"/>
  <c r="H167" i="32"/>
  <c r="F168" i="32"/>
  <c r="G168" i="32"/>
  <c r="H168" i="32"/>
  <c r="E163" i="32"/>
  <c r="E164" i="32"/>
  <c r="E165" i="32"/>
  <c r="E166" i="32"/>
  <c r="E167" i="32"/>
  <c r="E168" i="32"/>
  <c r="E162" i="32"/>
  <c r="F158" i="34"/>
  <c r="G158" i="34"/>
  <c r="H158" i="34"/>
  <c r="F159" i="34"/>
  <c r="G159" i="34"/>
  <c r="H159" i="34"/>
  <c r="F160" i="34"/>
  <c r="G160" i="34"/>
  <c r="H160" i="34"/>
  <c r="F161" i="34"/>
  <c r="G161" i="34"/>
  <c r="H161" i="34"/>
  <c r="F162" i="34"/>
  <c r="G162" i="34"/>
  <c r="H162" i="34"/>
  <c r="F163" i="34"/>
  <c r="G163" i="34"/>
  <c r="H163" i="34"/>
  <c r="F164" i="34"/>
  <c r="G164" i="34"/>
  <c r="H164" i="34"/>
  <c r="F165" i="34"/>
  <c r="G165" i="34"/>
  <c r="H165" i="34"/>
  <c r="F166" i="34"/>
  <c r="G166" i="34"/>
  <c r="H166" i="34"/>
  <c r="E159" i="34"/>
  <c r="E160" i="34"/>
  <c r="E161" i="34"/>
  <c r="E162" i="34"/>
  <c r="E163" i="34"/>
  <c r="E164" i="34"/>
  <c r="E165" i="34"/>
  <c r="E166" i="34"/>
  <c r="F160" i="31"/>
  <c r="G160" i="31"/>
  <c r="H160" i="31"/>
  <c r="F161" i="31"/>
  <c r="G161" i="31"/>
  <c r="H161" i="31"/>
  <c r="F162" i="31"/>
  <c r="G162" i="31"/>
  <c r="H162" i="31"/>
  <c r="F163" i="31"/>
  <c r="G163" i="31"/>
  <c r="H163" i="31"/>
  <c r="F164" i="31"/>
  <c r="G164" i="31"/>
  <c r="H164" i="31"/>
  <c r="F165" i="31"/>
  <c r="G165" i="31"/>
  <c r="H165" i="31"/>
  <c r="F166" i="31"/>
  <c r="G166" i="31"/>
  <c r="H166" i="31"/>
  <c r="F167" i="31"/>
  <c r="G167" i="31"/>
  <c r="H167" i="31"/>
  <c r="F168" i="31"/>
  <c r="G168" i="31"/>
  <c r="H168" i="31"/>
  <c r="E161" i="31"/>
  <c r="E162" i="31"/>
  <c r="E163" i="31"/>
  <c r="E164" i="31"/>
  <c r="E165" i="31"/>
  <c r="E166" i="31"/>
  <c r="E167" i="31"/>
  <c r="E168" i="31"/>
  <c r="E160" i="31"/>
  <c r="E171" i="31" s="1"/>
  <c r="F153" i="30"/>
  <c r="G153" i="30"/>
  <c r="H153" i="30"/>
  <c r="F154" i="30"/>
  <c r="G154" i="30"/>
  <c r="H154" i="30"/>
  <c r="F155" i="30"/>
  <c r="G155" i="30"/>
  <c r="H155" i="30"/>
  <c r="F156" i="30"/>
  <c r="G156" i="30"/>
  <c r="H156" i="30"/>
  <c r="F157" i="30"/>
  <c r="G157" i="30"/>
  <c r="H157" i="30"/>
  <c r="F158" i="30"/>
  <c r="G158" i="30"/>
  <c r="H158" i="30"/>
  <c r="F159" i="30"/>
  <c r="G159" i="30"/>
  <c r="H159" i="30"/>
  <c r="F160" i="30"/>
  <c r="G160" i="30"/>
  <c r="H160" i="30"/>
  <c r="F161" i="30"/>
  <c r="G161" i="30"/>
  <c r="H161" i="30"/>
  <c r="E154" i="30"/>
  <c r="E155" i="30"/>
  <c r="E156" i="30"/>
  <c r="E157" i="30"/>
  <c r="E158" i="30"/>
  <c r="E159" i="30"/>
  <c r="E160" i="30"/>
  <c r="E161" i="30"/>
  <c r="E153" i="30"/>
  <c r="E46" i="29"/>
  <c r="E69" i="29"/>
  <c r="E68" i="29"/>
  <c r="F69" i="29"/>
  <c r="G69" i="29"/>
  <c r="H69" i="29"/>
  <c r="E62" i="29"/>
  <c r="F62" i="29"/>
  <c r="G62" i="29"/>
  <c r="H62" i="29"/>
  <c r="E63" i="29"/>
  <c r="F63" i="29"/>
  <c r="G63" i="29"/>
  <c r="H63" i="29"/>
  <c r="E64" i="29"/>
  <c r="F64" i="29"/>
  <c r="G64" i="29"/>
  <c r="H64" i="29"/>
  <c r="E65" i="29"/>
  <c r="F65" i="29"/>
  <c r="G65" i="29"/>
  <c r="H65" i="29"/>
  <c r="E66" i="29"/>
  <c r="F66" i="29"/>
  <c r="G66" i="29"/>
  <c r="H66" i="29"/>
  <c r="E67" i="29"/>
  <c r="F67" i="29"/>
  <c r="G67" i="29"/>
  <c r="H67" i="29"/>
  <c r="F68" i="29"/>
  <c r="G68" i="29"/>
  <c r="H68" i="29"/>
  <c r="F61" i="29"/>
  <c r="G61" i="29"/>
  <c r="H61" i="29"/>
  <c r="E61" i="29"/>
  <c r="H58" i="29"/>
  <c r="G58" i="29"/>
  <c r="F58" i="29"/>
  <c r="E58" i="29"/>
  <c r="P53" i="51"/>
  <c r="W53" i="51" s="1"/>
  <c r="O53" i="51"/>
  <c r="O54" i="51" s="1"/>
  <c r="N53" i="51"/>
  <c r="U53" i="51" s="1"/>
  <c r="M53" i="51"/>
  <c r="M54" i="51" s="1"/>
  <c r="L53" i="51"/>
  <c r="S53" i="51" s="1"/>
  <c r="P52" i="51"/>
  <c r="O52" i="51"/>
  <c r="N52" i="51"/>
  <c r="AB45" i="51" s="1"/>
  <c r="M52" i="51"/>
  <c r="L52" i="51"/>
  <c r="P51" i="51"/>
  <c r="O51" i="51"/>
  <c r="N51" i="51"/>
  <c r="M51" i="51"/>
  <c r="L51" i="51"/>
  <c r="P50" i="51"/>
  <c r="O50" i="51"/>
  <c r="N50" i="51"/>
  <c r="M50" i="51"/>
  <c r="L50" i="51"/>
  <c r="P49" i="51"/>
  <c r="O49" i="51"/>
  <c r="N49" i="51"/>
  <c r="M49" i="51"/>
  <c r="L49" i="51"/>
  <c r="P48" i="51"/>
  <c r="O48" i="51"/>
  <c r="N48" i="51"/>
  <c r="M48" i="51"/>
  <c r="L48" i="51"/>
  <c r="P47" i="51"/>
  <c r="O47" i="51"/>
  <c r="V47" i="51" s="1"/>
  <c r="N47" i="51"/>
  <c r="U47" i="51" s="1"/>
  <c r="M47" i="51"/>
  <c r="L47" i="51"/>
  <c r="P46" i="51"/>
  <c r="O46" i="51"/>
  <c r="N46" i="51"/>
  <c r="U46" i="51" s="1"/>
  <c r="M46" i="51"/>
  <c r="L46" i="51"/>
  <c r="AD45" i="51"/>
  <c r="AC45" i="51"/>
  <c r="AA45" i="51"/>
  <c r="Z45" i="51"/>
  <c r="P45" i="51"/>
  <c r="O45" i="51"/>
  <c r="N45" i="51"/>
  <c r="M45" i="51"/>
  <c r="L45" i="51"/>
  <c r="AD44" i="51"/>
  <c r="AC44" i="51"/>
  <c r="AB44" i="51"/>
  <c r="AA44" i="51"/>
  <c r="Z44" i="51"/>
  <c r="P44" i="51"/>
  <c r="O44" i="51"/>
  <c r="N44" i="51"/>
  <c r="M44" i="51"/>
  <c r="L44" i="51"/>
  <c r="AD43" i="51"/>
  <c r="AC43" i="51"/>
  <c r="AB43" i="51"/>
  <c r="AA43" i="51"/>
  <c r="P43" i="51"/>
  <c r="O43" i="51"/>
  <c r="N43" i="51"/>
  <c r="M43" i="51"/>
  <c r="T43" i="51" s="1"/>
  <c r="L43" i="51"/>
  <c r="AD42" i="51"/>
  <c r="AC42" i="51"/>
  <c r="AB42" i="51"/>
  <c r="AA42" i="51"/>
  <c r="Z42" i="51"/>
  <c r="P42" i="51"/>
  <c r="O42" i="51"/>
  <c r="N42" i="51"/>
  <c r="M42" i="51"/>
  <c r="L42" i="51"/>
  <c r="AD41" i="51"/>
  <c r="AC41" i="51"/>
  <c r="AB41" i="51"/>
  <c r="AA41" i="51"/>
  <c r="Z41" i="51"/>
  <c r="P41" i="51"/>
  <c r="W41" i="51" s="1"/>
  <c r="O41" i="51"/>
  <c r="N41" i="51"/>
  <c r="M41" i="51"/>
  <c r="L41" i="51"/>
  <c r="AD40" i="51"/>
  <c r="AC40" i="51"/>
  <c r="AB40" i="51"/>
  <c r="AA40" i="51"/>
  <c r="Z40" i="51"/>
  <c r="P40" i="51"/>
  <c r="O40" i="51"/>
  <c r="V40" i="51" s="1"/>
  <c r="N40" i="51"/>
  <c r="M40" i="51"/>
  <c r="L40" i="51"/>
  <c r="AD39" i="51"/>
  <c r="AC39" i="51"/>
  <c r="AB39" i="51"/>
  <c r="AA39" i="51"/>
  <c r="Z39" i="51"/>
  <c r="P39" i="51"/>
  <c r="O39" i="51"/>
  <c r="N39" i="51"/>
  <c r="M39" i="51"/>
  <c r="L39" i="51"/>
  <c r="AD38" i="51"/>
  <c r="AC38" i="51"/>
  <c r="AB38" i="51"/>
  <c r="AA38" i="51"/>
  <c r="Z38" i="51"/>
  <c r="P38" i="51"/>
  <c r="O38" i="51"/>
  <c r="N38" i="51"/>
  <c r="M38" i="51"/>
  <c r="L38" i="51"/>
  <c r="AD37" i="51"/>
  <c r="AC37" i="51"/>
  <c r="AB37" i="51"/>
  <c r="AA37" i="51"/>
  <c r="Z37" i="51"/>
  <c r="P37" i="51"/>
  <c r="O37" i="51"/>
  <c r="N37" i="51"/>
  <c r="M37" i="51"/>
  <c r="L37" i="51"/>
  <c r="AD36" i="51"/>
  <c r="AC36" i="51"/>
  <c r="AB36" i="51"/>
  <c r="AA36" i="51"/>
  <c r="Z36" i="51"/>
  <c r="P36" i="51"/>
  <c r="O36" i="51"/>
  <c r="N36" i="51"/>
  <c r="M36" i="51"/>
  <c r="L36" i="51"/>
  <c r="AD35" i="51"/>
  <c r="AC35" i="51"/>
  <c r="AB35" i="51"/>
  <c r="G257" i="29" s="1"/>
  <c r="AA35" i="51"/>
  <c r="Z35" i="51"/>
  <c r="P35" i="51"/>
  <c r="O35" i="51"/>
  <c r="N35" i="51"/>
  <c r="M35" i="51"/>
  <c r="L35" i="51"/>
  <c r="P29" i="51"/>
  <c r="P30" i="51" s="1"/>
  <c r="O29" i="51"/>
  <c r="O30" i="51" s="1"/>
  <c r="N29" i="51"/>
  <c r="U29" i="51" s="1"/>
  <c r="M29" i="51"/>
  <c r="L29" i="51"/>
  <c r="P28" i="51"/>
  <c r="O28" i="51"/>
  <c r="N28" i="51"/>
  <c r="M28" i="51"/>
  <c r="L28" i="51"/>
  <c r="S28" i="51" s="1"/>
  <c r="P27" i="51"/>
  <c r="O27" i="51"/>
  <c r="N27" i="51"/>
  <c r="M27" i="51"/>
  <c r="L27" i="51"/>
  <c r="P26" i="51"/>
  <c r="O26" i="51"/>
  <c r="N26" i="51"/>
  <c r="M26" i="51"/>
  <c r="L26" i="51"/>
  <c r="P25" i="51"/>
  <c r="O25" i="51"/>
  <c r="N25" i="51"/>
  <c r="M25" i="51"/>
  <c r="L25" i="51"/>
  <c r="P24" i="51"/>
  <c r="O24" i="51"/>
  <c r="N24" i="51"/>
  <c r="M24" i="51"/>
  <c r="L24" i="51"/>
  <c r="P23" i="51"/>
  <c r="W23" i="51" s="1"/>
  <c r="O23" i="51"/>
  <c r="N23" i="51"/>
  <c r="M23" i="51"/>
  <c r="L23" i="51"/>
  <c r="P22" i="51"/>
  <c r="O22" i="51"/>
  <c r="N22" i="51"/>
  <c r="M22" i="51"/>
  <c r="L22" i="51"/>
  <c r="AD21" i="51"/>
  <c r="AC21" i="51"/>
  <c r="AB21" i="51"/>
  <c r="G252" i="29" s="1"/>
  <c r="AA21" i="51"/>
  <c r="Z21" i="51"/>
  <c r="P21" i="51"/>
  <c r="O21" i="51"/>
  <c r="N21" i="51"/>
  <c r="M21" i="51"/>
  <c r="L21" i="51"/>
  <c r="S21" i="51" s="1"/>
  <c r="AD20" i="51"/>
  <c r="AC20" i="51"/>
  <c r="AB20" i="51"/>
  <c r="AA20" i="51"/>
  <c r="Z20" i="51"/>
  <c r="P20" i="51"/>
  <c r="O20" i="51"/>
  <c r="N20" i="51"/>
  <c r="M20" i="51"/>
  <c r="L20" i="51"/>
  <c r="AD19" i="51"/>
  <c r="AC19" i="51"/>
  <c r="AB19" i="51"/>
  <c r="AA19" i="51"/>
  <c r="Z19" i="51"/>
  <c r="P19" i="51"/>
  <c r="O19" i="51"/>
  <c r="N19" i="51"/>
  <c r="M19" i="51"/>
  <c r="L19" i="51"/>
  <c r="AD18" i="51"/>
  <c r="AC18" i="51"/>
  <c r="AB18" i="51"/>
  <c r="AA18" i="51"/>
  <c r="Z18" i="51"/>
  <c r="P18" i="51"/>
  <c r="O18" i="51"/>
  <c r="N18" i="51"/>
  <c r="M18" i="51"/>
  <c r="L18" i="51"/>
  <c r="AD17" i="51"/>
  <c r="AC17" i="51"/>
  <c r="AB17" i="51"/>
  <c r="AA17" i="51"/>
  <c r="Z17" i="51"/>
  <c r="P17" i="51"/>
  <c r="O17" i="51"/>
  <c r="N17" i="51"/>
  <c r="M17" i="51"/>
  <c r="L17" i="51"/>
  <c r="AD16" i="51"/>
  <c r="AC16" i="51"/>
  <c r="AB16" i="51"/>
  <c r="AA16" i="51"/>
  <c r="Z16" i="51"/>
  <c r="P16" i="51"/>
  <c r="O16" i="51"/>
  <c r="N16" i="51"/>
  <c r="M16" i="51"/>
  <c r="L16" i="51"/>
  <c r="AD15" i="51"/>
  <c r="AC15" i="51"/>
  <c r="AB15" i="51"/>
  <c r="AA15" i="51"/>
  <c r="Z15" i="51"/>
  <c r="P15" i="51"/>
  <c r="O15" i="51"/>
  <c r="N15" i="51"/>
  <c r="M15" i="51"/>
  <c r="L15" i="51"/>
  <c r="AD14" i="51"/>
  <c r="AC14" i="51"/>
  <c r="AB14" i="51"/>
  <c r="AA14" i="51"/>
  <c r="Z14" i="51"/>
  <c r="P14" i="51"/>
  <c r="O14" i="51"/>
  <c r="N14" i="51"/>
  <c r="M14" i="51"/>
  <c r="L14" i="51"/>
  <c r="AD13" i="51"/>
  <c r="AC13" i="51"/>
  <c r="AB13" i="51"/>
  <c r="AA13" i="51"/>
  <c r="Z13" i="51"/>
  <c r="P13" i="51"/>
  <c r="O13" i="51"/>
  <c r="N13" i="51"/>
  <c r="M13" i="51"/>
  <c r="L13" i="51"/>
  <c r="AD12" i="51"/>
  <c r="AC12" i="51"/>
  <c r="AB12" i="51"/>
  <c r="AA12" i="51"/>
  <c r="Z12" i="51"/>
  <c r="P12" i="51"/>
  <c r="O12" i="51"/>
  <c r="N12" i="51"/>
  <c r="M12" i="51"/>
  <c r="L12" i="51"/>
  <c r="AD11" i="51"/>
  <c r="AC11" i="51"/>
  <c r="AB11" i="51"/>
  <c r="AA11" i="51"/>
  <c r="Z11" i="51"/>
  <c r="P11" i="51"/>
  <c r="O11" i="51"/>
  <c r="N11" i="51"/>
  <c r="M11" i="51"/>
  <c r="L11" i="51"/>
  <c r="F175" i="29"/>
  <c r="F203" i="29" s="1"/>
  <c r="E292" i="29"/>
  <c r="E295" i="29" s="1"/>
  <c r="E290" i="29"/>
  <c r="E289" i="29"/>
  <c r="E257" i="29" l="1"/>
  <c r="B63" i="41"/>
  <c r="J110" i="29" s="1"/>
  <c r="S25" i="51"/>
  <c r="V50" i="51"/>
  <c r="T14" i="51"/>
  <c r="T21" i="51"/>
  <c r="T16" i="51"/>
  <c r="S40" i="51"/>
  <c r="U44" i="51"/>
  <c r="V37" i="51"/>
  <c r="V44" i="51"/>
  <c r="W37" i="51"/>
  <c r="S35" i="51"/>
  <c r="T35" i="51"/>
  <c r="U50" i="51"/>
  <c r="U36" i="51"/>
  <c r="U35" i="51"/>
  <c r="W19" i="51"/>
  <c r="V13" i="51"/>
  <c r="V20" i="51"/>
  <c r="S43" i="51"/>
  <c r="S44" i="51"/>
  <c r="U27" i="51"/>
  <c r="T48" i="51"/>
  <c r="W36" i="51"/>
  <c r="V43" i="51"/>
  <c r="T51" i="51"/>
  <c r="N54" i="51"/>
  <c r="W27" i="51"/>
  <c r="V39" i="51"/>
  <c r="T42" i="51"/>
  <c r="V51" i="51"/>
  <c r="U25" i="51"/>
  <c r="S38" i="51"/>
  <c r="W39" i="51"/>
  <c r="S49" i="51"/>
  <c r="S45" i="51"/>
  <c r="T39" i="51"/>
  <c r="V35" i="51"/>
  <c r="U51" i="51"/>
  <c r="W15" i="51"/>
  <c r="U18" i="51"/>
  <c r="W22" i="51"/>
  <c r="V25" i="51"/>
  <c r="V42" i="51"/>
  <c r="T49" i="51"/>
  <c r="S52" i="51"/>
  <c r="W20" i="51"/>
  <c r="V16" i="51"/>
  <c r="V36" i="51"/>
  <c r="S51" i="51"/>
  <c r="U11" i="51"/>
  <c r="V18" i="51"/>
  <c r="W25" i="51"/>
  <c r="V28" i="51"/>
  <c r="S41" i="51"/>
  <c r="U49" i="51"/>
  <c r="T52" i="51"/>
  <c r="V12" i="51"/>
  <c r="W11" i="51"/>
  <c r="W18" i="51"/>
  <c r="T23" i="51"/>
  <c r="W28" i="51"/>
  <c r="S37" i="51"/>
  <c r="T41" i="51"/>
  <c r="U45" i="51"/>
  <c r="V49" i="51"/>
  <c r="U52" i="51"/>
  <c r="U12" i="51"/>
  <c r="S42" i="51"/>
  <c r="W12" i="51"/>
  <c r="V21" i="51"/>
  <c r="U23" i="51"/>
  <c r="S18" i="51"/>
  <c r="T37" i="51"/>
  <c r="U41" i="51"/>
  <c r="V45" i="51"/>
  <c r="S47" i="51"/>
  <c r="V52" i="51"/>
  <c r="U13" i="51"/>
  <c r="U20" i="51"/>
  <c r="U16" i="51"/>
  <c r="S48" i="51"/>
  <c r="U43" i="51"/>
  <c r="V11" i="51"/>
  <c r="V14" i="51"/>
  <c r="V23" i="51"/>
  <c r="U37" i="51"/>
  <c r="V41" i="51"/>
  <c r="T44" i="51"/>
  <c r="T47" i="51"/>
  <c r="W45" i="51"/>
  <c r="P54" i="51"/>
  <c r="W43" i="51"/>
  <c r="S24" i="51"/>
  <c r="Z46" i="51"/>
  <c r="AG36" i="51" s="1"/>
  <c r="U42" i="51"/>
  <c r="W50" i="51"/>
  <c r="T24" i="51"/>
  <c r="W38" i="51"/>
  <c r="W51" i="51"/>
  <c r="W47" i="51"/>
  <c r="T11" i="51"/>
  <c r="V19" i="51"/>
  <c r="U24" i="51"/>
  <c r="T27" i="51"/>
  <c r="W42" i="51"/>
  <c r="W48" i="51"/>
  <c r="W46" i="51"/>
  <c r="W35" i="51"/>
  <c r="AB22" i="51"/>
  <c r="AI20" i="51" s="1"/>
  <c r="W44" i="51"/>
  <c r="W40" i="51"/>
  <c r="W49" i="51"/>
  <c r="S14" i="51"/>
  <c r="W24" i="51"/>
  <c r="V27" i="51"/>
  <c r="S17" i="51"/>
  <c r="T25" i="51"/>
  <c r="T12" i="51"/>
  <c r="T17" i="51"/>
  <c r="T18" i="51"/>
  <c r="U17" i="51"/>
  <c r="AG37" i="51"/>
  <c r="V17" i="51"/>
  <c r="S22" i="51"/>
  <c r="V29" i="51"/>
  <c r="W16" i="51"/>
  <c r="U14" i="51"/>
  <c r="V15" i="51"/>
  <c r="T26" i="51"/>
  <c r="T53" i="51"/>
  <c r="T13" i="51"/>
  <c r="U26" i="51"/>
  <c r="T38" i="51"/>
  <c r="T46" i="51"/>
  <c r="V53" i="51"/>
  <c r="G258" i="29"/>
  <c r="E258" i="29" s="1"/>
  <c r="V26" i="51"/>
  <c r="AD46" i="51"/>
  <c r="AK38" i="51" s="1"/>
  <c r="U38" i="51"/>
  <c r="S12" i="51"/>
  <c r="W13" i="51"/>
  <c r="U19" i="51"/>
  <c r="T36" i="51"/>
  <c r="T45" i="51"/>
  <c r="V48" i="51"/>
  <c r="T50" i="51"/>
  <c r="W52" i="51"/>
  <c r="S16" i="51"/>
  <c r="S15" i="51"/>
  <c r="S39" i="51"/>
  <c r="S20" i="51"/>
  <c r="U22" i="51"/>
  <c r="W29" i="51"/>
  <c r="T40" i="51"/>
  <c r="AD22" i="51"/>
  <c r="AK18" i="51" s="1"/>
  <c r="U15" i="51"/>
  <c r="T20" i="51"/>
  <c r="U21" i="51"/>
  <c r="V22" i="51"/>
  <c r="V24" i="51"/>
  <c r="S26" i="51"/>
  <c r="M30" i="51"/>
  <c r="AC22" i="51"/>
  <c r="AJ19" i="51" s="1"/>
  <c r="AB46" i="51"/>
  <c r="AI38" i="51" s="1"/>
  <c r="S27" i="51"/>
  <c r="W17" i="51"/>
  <c r="T22" i="51"/>
  <c r="AC46" i="51"/>
  <c r="AJ39" i="51" s="1"/>
  <c r="T15" i="51"/>
  <c r="S13" i="51"/>
  <c r="N30" i="51"/>
  <c r="S46" i="51"/>
  <c r="W21" i="51"/>
  <c r="W14" i="51"/>
  <c r="S19" i="51"/>
  <c r="W26" i="51"/>
  <c r="U28" i="51"/>
  <c r="S36" i="51"/>
  <c r="V38" i="51"/>
  <c r="U39" i="51"/>
  <c r="U40" i="51"/>
  <c r="V46" i="51"/>
  <c r="U48" i="51"/>
  <c r="S50" i="51"/>
  <c r="L54" i="51"/>
  <c r="J118" i="29"/>
  <c r="J82" i="49"/>
  <c r="J81" i="49"/>
  <c r="J80" i="49"/>
  <c r="J84" i="49"/>
  <c r="J79" i="49"/>
  <c r="J83" i="49"/>
  <c r="J85" i="49"/>
  <c r="J44" i="49"/>
  <c r="J43" i="49"/>
  <c r="J47" i="49"/>
  <c r="J45" i="49"/>
  <c r="J50" i="49"/>
  <c r="J48" i="49"/>
  <c r="J49" i="49"/>
  <c r="J46" i="49"/>
  <c r="J152" i="32"/>
  <c r="J151" i="33"/>
  <c r="J140" i="30"/>
  <c r="J43" i="48"/>
  <c r="J139" i="30"/>
  <c r="J151" i="32"/>
  <c r="J148" i="33"/>
  <c r="J150" i="33"/>
  <c r="J146" i="30"/>
  <c r="J84" i="47"/>
  <c r="J145" i="30"/>
  <c r="J83" i="47"/>
  <c r="J142" i="30"/>
  <c r="J82" i="47"/>
  <c r="J141" i="30"/>
  <c r="J144" i="30"/>
  <c r="J152" i="31"/>
  <c r="J149" i="33"/>
  <c r="J153" i="31"/>
  <c r="J143" i="30"/>
  <c r="J148" i="31"/>
  <c r="J147" i="31"/>
  <c r="J150" i="32"/>
  <c r="J148" i="32"/>
  <c r="J155" i="33"/>
  <c r="J149" i="32"/>
  <c r="J144" i="34"/>
  <c r="J154" i="33"/>
  <c r="J150" i="34"/>
  <c r="J153" i="33"/>
  <c r="J146" i="31"/>
  <c r="J155" i="32"/>
  <c r="J154" i="32"/>
  <c r="J151" i="34"/>
  <c r="J149" i="34"/>
  <c r="J148" i="34"/>
  <c r="J146" i="34"/>
  <c r="J145" i="34"/>
  <c r="J151" i="31"/>
  <c r="J150" i="31"/>
  <c r="J45" i="48"/>
  <c r="J47" i="48"/>
  <c r="J48" i="48"/>
  <c r="J50" i="48"/>
  <c r="J49" i="48"/>
  <c r="J44" i="48"/>
  <c r="J78" i="48"/>
  <c r="J85" i="48"/>
  <c r="J84" i="48"/>
  <c r="J83" i="48"/>
  <c r="J82" i="48"/>
  <c r="J81" i="48"/>
  <c r="J80" i="48"/>
  <c r="J79" i="48"/>
  <c r="J85" i="47"/>
  <c r="J80" i="47"/>
  <c r="J79" i="47"/>
  <c r="J78" i="47"/>
  <c r="J43" i="47"/>
  <c r="J50" i="47"/>
  <c r="J49" i="47"/>
  <c r="J47" i="47"/>
  <c r="J48" i="47"/>
  <c r="J44" i="47"/>
  <c r="J46" i="47"/>
  <c r="G266" i="29"/>
  <c r="E266" i="29" s="1"/>
  <c r="G265" i="29"/>
  <c r="E265" i="29" s="1"/>
  <c r="G264" i="29"/>
  <c r="E264" i="29" s="1"/>
  <c r="G263" i="29"/>
  <c r="E263" i="29" s="1"/>
  <c r="G250" i="29"/>
  <c r="G245" i="29"/>
  <c r="G244" i="29"/>
  <c r="G262" i="29"/>
  <c r="E262" i="29" s="1"/>
  <c r="G243" i="29"/>
  <c r="G267" i="29"/>
  <c r="E267" i="29" s="1"/>
  <c r="G242" i="29"/>
  <c r="G261" i="29"/>
  <c r="E261" i="29" s="1"/>
  <c r="G248" i="29"/>
  <c r="G260" i="29"/>
  <c r="E260" i="29" s="1"/>
  <c r="G249" i="29"/>
  <c r="G247" i="29"/>
  <c r="G259" i="29"/>
  <c r="E259" i="29" s="1"/>
  <c r="G251" i="29"/>
  <c r="G246" i="29"/>
  <c r="Z22" i="51"/>
  <c r="AG11" i="51" s="1"/>
  <c r="AA22" i="51"/>
  <c r="S23" i="51"/>
  <c r="T28" i="51"/>
  <c r="L30" i="51"/>
  <c r="AA46" i="51"/>
  <c r="AH41" i="51" s="1"/>
  <c r="AI15" i="51"/>
  <c r="AJ15" i="51"/>
  <c r="S29" i="51"/>
  <c r="T19" i="51"/>
  <c r="T29" i="51"/>
  <c r="S11" i="51"/>
  <c r="D6" i="36"/>
  <c r="D7" i="36"/>
  <c r="D8" i="36"/>
  <c r="D5" i="36"/>
  <c r="B11" i="36"/>
  <c r="C11" i="36"/>
  <c r="B5" i="36" l="1"/>
  <c r="B7" i="36"/>
  <c r="C5" i="36"/>
  <c r="B8" i="36"/>
  <c r="B6" i="36"/>
  <c r="AK46" i="51"/>
  <c r="AJ46" i="51"/>
  <c r="J268" i="29"/>
  <c r="AI37" i="51"/>
  <c r="AI35" i="51"/>
  <c r="AJ36" i="51"/>
  <c r="AK39" i="51"/>
  <c r="AG41" i="51"/>
  <c r="AK16" i="51"/>
  <c r="AJ40" i="51"/>
  <c r="AK20" i="51"/>
  <c r="AK45" i="51"/>
  <c r="AK40" i="51"/>
  <c r="AI13" i="51"/>
  <c r="AI21" i="51"/>
  <c r="AG35" i="51"/>
  <c r="AG42" i="51"/>
  <c r="AG38" i="51"/>
  <c r="AK17" i="51"/>
  <c r="AJ11" i="51"/>
  <c r="AG40" i="51"/>
  <c r="AG45" i="51"/>
  <c r="AK21" i="51"/>
  <c r="AI11" i="51"/>
  <c r="AI18" i="51"/>
  <c r="AI12" i="51"/>
  <c r="AG44" i="51"/>
  <c r="AI14" i="51"/>
  <c r="AG39" i="51"/>
  <c r="AG43" i="51"/>
  <c r="AH43" i="51"/>
  <c r="AI22" i="51"/>
  <c r="AI19" i="51"/>
  <c r="AI16" i="51"/>
  <c r="AG46" i="51"/>
  <c r="AJ35" i="51"/>
  <c r="AI17" i="51"/>
  <c r="S54" i="51"/>
  <c r="U30" i="51"/>
  <c r="V30" i="51"/>
  <c r="AH37" i="51"/>
  <c r="AK15" i="51"/>
  <c r="V54" i="51"/>
  <c r="AK19" i="51"/>
  <c r="AG12" i="51"/>
  <c r="AK22" i="51"/>
  <c r="AK41" i="51"/>
  <c r="AK13" i="51"/>
  <c r="AG19" i="51"/>
  <c r="AK14" i="51"/>
  <c r="T54" i="51"/>
  <c r="W54" i="51"/>
  <c r="AK43" i="51"/>
  <c r="AJ41" i="51"/>
  <c r="AK11" i="51"/>
  <c r="AK36" i="51"/>
  <c r="AK12" i="51"/>
  <c r="AK37" i="51"/>
  <c r="AK44" i="51"/>
  <c r="AH36" i="51"/>
  <c r="W30" i="51"/>
  <c r="U54" i="51"/>
  <c r="AJ44" i="51"/>
  <c r="AK42" i="51"/>
  <c r="AJ43" i="51"/>
  <c r="AK35" i="51"/>
  <c r="AJ42" i="51"/>
  <c r="AI40" i="51"/>
  <c r="AJ16" i="51"/>
  <c r="AJ22" i="51"/>
  <c r="AJ13" i="51"/>
  <c r="AJ20" i="51"/>
  <c r="AI44" i="51"/>
  <c r="AI42" i="51"/>
  <c r="AI46" i="51"/>
  <c r="AI43" i="51"/>
  <c r="AJ14" i="51"/>
  <c r="AJ21" i="51"/>
  <c r="T30" i="51"/>
  <c r="AJ12" i="51"/>
  <c r="AJ18" i="51"/>
  <c r="AJ17" i="51"/>
  <c r="AH44" i="51"/>
  <c r="AI39" i="51"/>
  <c r="AJ45" i="51"/>
  <c r="AJ38" i="51"/>
  <c r="AI41" i="51"/>
  <c r="AI36" i="51"/>
  <c r="AI45" i="51"/>
  <c r="AH39" i="51"/>
  <c r="AJ37" i="51"/>
  <c r="J253" i="29"/>
  <c r="C8" i="36"/>
  <c r="C7" i="36"/>
  <c r="C6" i="36"/>
  <c r="G253" i="29"/>
  <c r="G254" i="29" s="1"/>
  <c r="AH14" i="51"/>
  <c r="AH22" i="51"/>
  <c r="AH12" i="51"/>
  <c r="AH15" i="51"/>
  <c r="AH17" i="51"/>
  <c r="AH19" i="51"/>
  <c r="AH21" i="51"/>
  <c r="AG13" i="51"/>
  <c r="AH13" i="51"/>
  <c r="AG21" i="51"/>
  <c r="AG14" i="51"/>
  <c r="AG22" i="51"/>
  <c r="AG17" i="51"/>
  <c r="AG15" i="51"/>
  <c r="AH18" i="51"/>
  <c r="AH42" i="51"/>
  <c r="AG20" i="51"/>
  <c r="S30" i="51"/>
  <c r="AG16" i="51"/>
  <c r="AH35" i="51"/>
  <c r="AH38" i="51"/>
  <c r="AH45" i="51"/>
  <c r="AH46" i="51"/>
  <c r="AH40" i="51"/>
  <c r="AH16" i="51"/>
  <c r="AH11" i="51"/>
  <c r="AG18" i="51"/>
  <c r="AH20" i="51"/>
  <c r="E264" i="32"/>
  <c r="F264" i="32"/>
  <c r="G264" i="32"/>
  <c r="H264" i="32"/>
  <c r="J254" i="29" l="1"/>
  <c r="AK47" i="51"/>
  <c r="AG47" i="51"/>
  <c r="AK23" i="51"/>
  <c r="AI23" i="51"/>
  <c r="AI47" i="51"/>
  <c r="AJ47" i="51"/>
  <c r="AJ23" i="51"/>
  <c r="AH47" i="51"/>
  <c r="E242" i="29"/>
  <c r="E252" i="29"/>
  <c r="B57" i="41" s="1"/>
  <c r="AG23" i="51"/>
  <c r="AH23" i="51"/>
  <c r="H142" i="29"/>
  <c r="G142" i="29"/>
  <c r="F142" i="29"/>
  <c r="E142" i="29"/>
  <c r="H141" i="29"/>
  <c r="G141" i="29"/>
  <c r="F141" i="29"/>
  <c r="E141" i="29"/>
  <c r="H140" i="29"/>
  <c r="G140" i="29"/>
  <c r="F140" i="29"/>
  <c r="E140" i="29"/>
  <c r="E138" i="29"/>
  <c r="E136" i="29"/>
  <c r="E134" i="29"/>
  <c r="E132" i="29"/>
  <c r="E133" i="29" s="1"/>
  <c r="E130" i="29"/>
  <c r="C25" i="41"/>
  <c r="D25" i="41"/>
  <c r="E25" i="41"/>
  <c r="B25" i="41"/>
  <c r="E131" i="29" l="1"/>
  <c r="E149" i="29" s="1"/>
  <c r="E77" i="33" s="1"/>
  <c r="B47" i="41"/>
  <c r="E59" i="29"/>
  <c r="F31" i="29"/>
  <c r="G31" i="29"/>
  <c r="H31" i="29"/>
  <c r="E31" i="29"/>
  <c r="F14" i="29"/>
  <c r="G14" i="29"/>
  <c r="H14" i="29"/>
  <c r="E14" i="29"/>
  <c r="E129" i="29"/>
  <c r="E296" i="29"/>
  <c r="E323" i="29" s="1"/>
  <c r="F238" i="29"/>
  <c r="L238" i="29" s="1"/>
  <c r="H238" i="29"/>
  <c r="N238" i="29" s="1"/>
  <c r="E238" i="29"/>
  <c r="K238" i="29" s="1"/>
  <c r="G268" i="29"/>
  <c r="G237" i="29"/>
  <c r="M237" i="29" s="1"/>
  <c r="G235" i="29"/>
  <c r="M235" i="29" s="1"/>
  <c r="G234" i="29"/>
  <c r="M234" i="29" s="1"/>
  <c r="G233" i="29"/>
  <c r="M233" i="29" s="1"/>
  <c r="L233" i="29"/>
  <c r="N233" i="29"/>
  <c r="L234" i="29"/>
  <c r="N234" i="29"/>
  <c r="L235" i="29"/>
  <c r="N235" i="29"/>
  <c r="L236" i="29"/>
  <c r="N236" i="29"/>
  <c r="L237" i="29"/>
  <c r="N237" i="29"/>
  <c r="K234" i="29"/>
  <c r="K235" i="29"/>
  <c r="K236" i="29"/>
  <c r="K237" i="29"/>
  <c r="G236" i="29"/>
  <c r="M236" i="29" s="1"/>
  <c r="J356" i="29"/>
  <c r="J357" i="29"/>
  <c r="J358" i="29"/>
  <c r="J359" i="29"/>
  <c r="J360" i="29"/>
  <c r="J361" i="29"/>
  <c r="J362" i="29"/>
  <c r="J363" i="29"/>
  <c r="J364" i="29"/>
  <c r="J365" i="29"/>
  <c r="J366" i="29"/>
  <c r="J367" i="29"/>
  <c r="J368" i="29"/>
  <c r="J369" i="29"/>
  <c r="J370" i="29"/>
  <c r="J371" i="29"/>
  <c r="J372" i="29"/>
  <c r="J373" i="29"/>
  <c r="J374" i="29"/>
  <c r="J375" i="29"/>
  <c r="F176" i="29"/>
  <c r="C319" i="29"/>
  <c r="C346" i="29" s="1"/>
  <c r="J346" i="29" s="1"/>
  <c r="C313" i="29"/>
  <c r="J313" i="29" s="1"/>
  <c r="C314" i="29"/>
  <c r="J314" i="29" s="1"/>
  <c r="C315" i="29"/>
  <c r="J315" i="29" s="1"/>
  <c r="C316" i="29"/>
  <c r="C343" i="29" s="1"/>
  <c r="J343" i="29" s="1"/>
  <c r="C317" i="29"/>
  <c r="C344" i="29" s="1"/>
  <c r="J344" i="29" s="1"/>
  <c r="C318" i="29"/>
  <c r="C297" i="29"/>
  <c r="C298" i="29"/>
  <c r="C299" i="29"/>
  <c r="C300" i="29"/>
  <c r="J300" i="29" s="1"/>
  <c r="C301" i="29"/>
  <c r="J301" i="29" s="1"/>
  <c r="C302" i="29"/>
  <c r="C329" i="29" s="1"/>
  <c r="J329" i="29" s="1"/>
  <c r="C303" i="29"/>
  <c r="C330" i="29" s="1"/>
  <c r="J330" i="29" s="1"/>
  <c r="C304" i="29"/>
  <c r="C331" i="29" s="1"/>
  <c r="J331" i="29" s="1"/>
  <c r="C305" i="29"/>
  <c r="C332" i="29" s="1"/>
  <c r="J332" i="29" s="1"/>
  <c r="C306" i="29"/>
  <c r="J306" i="29" s="1"/>
  <c r="C307" i="29"/>
  <c r="C308" i="29"/>
  <c r="C309" i="29"/>
  <c r="C310" i="29"/>
  <c r="C311" i="29"/>
  <c r="C312" i="29"/>
  <c r="J312" i="29" s="1"/>
  <c r="C296" i="29"/>
  <c r="J296" i="29" s="1"/>
  <c r="J292" i="29"/>
  <c r="O292" i="29"/>
  <c r="O295" i="29" s="1"/>
  <c r="O296" i="29" s="1"/>
  <c r="N292" i="29"/>
  <c r="N295" i="29" s="1"/>
  <c r="N296" i="29" s="1"/>
  <c r="M292" i="29"/>
  <c r="M295" i="29" s="1"/>
  <c r="M296" i="29" s="1"/>
  <c r="L292" i="29"/>
  <c r="L295" i="29" s="1"/>
  <c r="F292" i="29"/>
  <c r="F295" i="29" s="1"/>
  <c r="G292" i="29"/>
  <c r="G295" i="29" s="1"/>
  <c r="H292" i="29"/>
  <c r="H295" i="29" s="1"/>
  <c r="O290" i="29"/>
  <c r="N290" i="29"/>
  <c r="M290" i="29"/>
  <c r="L290" i="29"/>
  <c r="O289" i="29"/>
  <c r="N289" i="29"/>
  <c r="M289" i="29"/>
  <c r="L289" i="29"/>
  <c r="F289" i="29"/>
  <c r="G289" i="29"/>
  <c r="H289" i="29"/>
  <c r="F290" i="29"/>
  <c r="G290" i="29"/>
  <c r="H290" i="29"/>
  <c r="J9" i="48"/>
  <c r="G9" i="48" s="1"/>
  <c r="F14" i="50"/>
  <c r="N9" i="49"/>
  <c r="J9" i="49"/>
  <c r="F14" i="49"/>
  <c r="F14" i="48"/>
  <c r="F14" i="47"/>
  <c r="J12" i="47"/>
  <c r="J9" i="47"/>
  <c r="G9" i="47" s="1"/>
  <c r="H91" i="29"/>
  <c r="H90" i="29"/>
  <c r="H89" i="29"/>
  <c r="F90" i="29"/>
  <c r="F91" i="29"/>
  <c r="F89" i="29"/>
  <c r="G269" i="29" l="1"/>
  <c r="B66" i="41"/>
  <c r="G14" i="50"/>
  <c r="G14" i="49"/>
  <c r="F204" i="29"/>
  <c r="B74" i="41"/>
  <c r="B75" i="41"/>
  <c r="B72" i="41"/>
  <c r="B73" i="41"/>
  <c r="B76" i="41"/>
  <c r="B69" i="41"/>
  <c r="B70" i="41"/>
  <c r="B71" i="41"/>
  <c r="B67" i="41"/>
  <c r="B68" i="41"/>
  <c r="G14" i="47"/>
  <c r="G14" i="48"/>
  <c r="E244" i="29"/>
  <c r="B48" i="41" s="1"/>
  <c r="E243" i="29"/>
  <c r="B49" i="41" s="1"/>
  <c r="G238" i="29"/>
  <c r="M238" i="29" s="1"/>
  <c r="E245" i="29"/>
  <c r="E251" i="29"/>
  <c r="B56" i="41" s="1"/>
  <c r="E250" i="29"/>
  <c r="B55" i="41" s="1"/>
  <c r="E249" i="29"/>
  <c r="B54" i="41" s="1"/>
  <c r="E248" i="29"/>
  <c r="B53" i="41" s="1"/>
  <c r="E247" i="29"/>
  <c r="B52" i="41" s="1"/>
  <c r="E246" i="29"/>
  <c r="B51" i="41" s="1"/>
  <c r="J303" i="29"/>
  <c r="C340" i="29"/>
  <c r="J340" i="29" s="1"/>
  <c r="J302" i="29"/>
  <c r="C339" i="29"/>
  <c r="J339" i="29" s="1"/>
  <c r="J319" i="29"/>
  <c r="J305" i="29"/>
  <c r="J304" i="29"/>
  <c r="C328" i="29"/>
  <c r="J328" i="29" s="1"/>
  <c r="C327" i="29"/>
  <c r="J327" i="29" s="1"/>
  <c r="C342" i="29"/>
  <c r="J342" i="29" s="1"/>
  <c r="C341" i="29"/>
  <c r="J341" i="29" s="1"/>
  <c r="O297" i="29"/>
  <c r="O323" i="29"/>
  <c r="J309" i="29"/>
  <c r="C336" i="29"/>
  <c r="J336" i="29" s="1"/>
  <c r="J308" i="29"/>
  <c r="C335" i="29"/>
  <c r="J335" i="29" s="1"/>
  <c r="L296" i="29"/>
  <c r="L322" i="29"/>
  <c r="M297" i="29"/>
  <c r="M323" i="29"/>
  <c r="J311" i="29"/>
  <c r="C338" i="29"/>
  <c r="J338" i="29" s="1"/>
  <c r="J299" i="29"/>
  <c r="C326" i="29"/>
  <c r="J326" i="29" s="1"/>
  <c r="N297" i="29"/>
  <c r="N323" i="29"/>
  <c r="E322" i="29"/>
  <c r="J310" i="29"/>
  <c r="C337" i="29"/>
  <c r="J337" i="29" s="1"/>
  <c r="J298" i="29"/>
  <c r="C325" i="29"/>
  <c r="J325" i="29" s="1"/>
  <c r="H296" i="29"/>
  <c r="H322" i="29"/>
  <c r="J297" i="29"/>
  <c r="C324" i="29"/>
  <c r="J324" i="29" s="1"/>
  <c r="G296" i="29"/>
  <c r="G322" i="29"/>
  <c r="C345" i="29"/>
  <c r="J345" i="29" s="1"/>
  <c r="J318" i="29"/>
  <c r="F296" i="29"/>
  <c r="F322" i="29"/>
  <c r="J307" i="29"/>
  <c r="C334" i="29"/>
  <c r="J334" i="29" s="1"/>
  <c r="M322" i="29"/>
  <c r="N322" i="29"/>
  <c r="O322" i="29"/>
  <c r="J317" i="29"/>
  <c r="C323" i="29"/>
  <c r="J323" i="29" s="1"/>
  <c r="J316" i="29"/>
  <c r="C333" i="29"/>
  <c r="J333" i="29" s="1"/>
  <c r="H14" i="50"/>
  <c r="H125" i="29"/>
  <c r="G125" i="29"/>
  <c r="G128" i="29"/>
  <c r="E125" i="29"/>
  <c r="E78" i="29"/>
  <c r="F36" i="45"/>
  <c r="E32" i="45"/>
  <c r="H31" i="45"/>
  <c r="F31" i="45"/>
  <c r="E28" i="45"/>
  <c r="F27" i="45"/>
  <c r="G27" i="45" s="1"/>
  <c r="G28" i="45" s="1"/>
  <c r="H26" i="45"/>
  <c r="F26" i="45"/>
  <c r="F24" i="45"/>
  <c r="G24" i="45" s="1"/>
  <c r="H24" i="45" s="1"/>
  <c r="H22" i="45"/>
  <c r="F22" i="45"/>
  <c r="G21" i="45"/>
  <c r="G23" i="45" s="1"/>
  <c r="E21" i="45"/>
  <c r="E23" i="45" s="1"/>
  <c r="E25" i="45" s="1"/>
  <c r="H20" i="45"/>
  <c r="F20" i="45"/>
  <c r="H19" i="45"/>
  <c r="F19" i="45"/>
  <c r="E21" i="34"/>
  <c r="F21" i="34"/>
  <c r="G21" i="34"/>
  <c r="H21" i="34"/>
  <c r="D21" i="34"/>
  <c r="C21" i="34"/>
  <c r="E81" i="29"/>
  <c r="N11" i="35"/>
  <c r="J14" i="44" s="1"/>
  <c r="H105" i="44"/>
  <c r="F105" i="44"/>
  <c r="H90" i="44"/>
  <c r="F90" i="44"/>
  <c r="F75" i="44"/>
  <c r="H75" i="44"/>
  <c r="H60" i="44"/>
  <c r="F60" i="44"/>
  <c r="N15" i="35"/>
  <c r="J12" i="44" s="1"/>
  <c r="N14" i="35"/>
  <c r="J11" i="44" s="1"/>
  <c r="N16" i="35"/>
  <c r="J13" i="44" s="1"/>
  <c r="E21" i="44"/>
  <c r="E200" i="44" s="1"/>
  <c r="E22" i="44"/>
  <c r="E201" i="44" s="1"/>
  <c r="E20" i="44"/>
  <c r="E199" i="44" s="1"/>
  <c r="E19" i="44"/>
  <c r="E198" i="44" s="1"/>
  <c r="F103" i="44"/>
  <c r="F88" i="44"/>
  <c r="F104" i="44"/>
  <c r="F89" i="44"/>
  <c r="F112" i="44"/>
  <c r="E108" i="44"/>
  <c r="H107" i="44"/>
  <c r="F107" i="44"/>
  <c r="H104" i="44"/>
  <c r="H103" i="44"/>
  <c r="E102" i="44"/>
  <c r="E106" i="44" s="1"/>
  <c r="E193" i="44" s="1"/>
  <c r="F101" i="44"/>
  <c r="G101" i="44" s="1"/>
  <c r="H100" i="44"/>
  <c r="F100" i="44"/>
  <c r="F97" i="44"/>
  <c r="J127" i="44"/>
  <c r="E93" i="44"/>
  <c r="H92" i="44"/>
  <c r="F92" i="44"/>
  <c r="H89" i="44"/>
  <c r="H88" i="44"/>
  <c r="E87" i="44"/>
  <c r="E91" i="44" s="1"/>
  <c r="E192" i="44" s="1"/>
  <c r="F86" i="44"/>
  <c r="G86" i="44" s="1"/>
  <c r="H85" i="44"/>
  <c r="F85" i="44"/>
  <c r="F82" i="44"/>
  <c r="J126" i="44"/>
  <c r="E78" i="44"/>
  <c r="H77" i="44"/>
  <c r="F77" i="44"/>
  <c r="H74" i="44"/>
  <c r="F74" i="44"/>
  <c r="H73" i="44"/>
  <c r="F73" i="44"/>
  <c r="E72" i="44"/>
  <c r="E76" i="44" s="1"/>
  <c r="E191" i="44" s="1"/>
  <c r="F71" i="44"/>
  <c r="G71" i="44" s="1"/>
  <c r="H70" i="44"/>
  <c r="F70" i="44"/>
  <c r="E57" i="44"/>
  <c r="E61" i="44" s="1"/>
  <c r="E190" i="44" s="1"/>
  <c r="F56" i="44"/>
  <c r="G56" i="44" s="1"/>
  <c r="G57" i="44" s="1"/>
  <c r="G61" i="44" s="1"/>
  <c r="G190" i="44" s="1"/>
  <c r="G44" i="44"/>
  <c r="G46" i="44" s="1"/>
  <c r="G189" i="44" s="1"/>
  <c r="E44" i="44"/>
  <c r="E46" i="44" s="1"/>
  <c r="E189" i="44" s="1"/>
  <c r="G31" i="44"/>
  <c r="E31" i="44"/>
  <c r="E33" i="44" s="1"/>
  <c r="E188" i="44" s="1"/>
  <c r="F67" i="44"/>
  <c r="J125" i="44"/>
  <c r="E63" i="44"/>
  <c r="H62" i="44"/>
  <c r="F62" i="44"/>
  <c r="H59" i="44"/>
  <c r="F59" i="44"/>
  <c r="H58" i="44"/>
  <c r="F58" i="44"/>
  <c r="H55" i="44"/>
  <c r="F55" i="44"/>
  <c r="F52" i="44"/>
  <c r="J124" i="44"/>
  <c r="E48" i="44"/>
  <c r="H47" i="44"/>
  <c r="F47" i="44"/>
  <c r="H45" i="44"/>
  <c r="F45" i="44"/>
  <c r="H43" i="44"/>
  <c r="F43" i="44"/>
  <c r="H42" i="44"/>
  <c r="F42" i="44"/>
  <c r="G68" i="43"/>
  <c r="G70" i="43" s="1"/>
  <c r="E68" i="43"/>
  <c r="E70" i="43" s="1"/>
  <c r="F60" i="35"/>
  <c r="G60" i="35" s="1"/>
  <c r="H60" i="35" s="1"/>
  <c r="F59" i="35"/>
  <c r="F68" i="43" s="1"/>
  <c r="H59" i="35"/>
  <c r="H68" i="43" s="1"/>
  <c r="F44" i="35"/>
  <c r="G44" i="35"/>
  <c r="H44" i="35"/>
  <c r="E44" i="35"/>
  <c r="F41" i="35"/>
  <c r="G41" i="35" s="1"/>
  <c r="F45" i="35"/>
  <c r="H45" i="35"/>
  <c r="C40" i="35"/>
  <c r="F51" i="35"/>
  <c r="G51" i="35"/>
  <c r="H46" i="35"/>
  <c r="H43" i="35"/>
  <c r="F56" i="35"/>
  <c r="E51" i="35"/>
  <c r="E61" i="35" s="1"/>
  <c r="F48" i="35"/>
  <c r="G48" i="35" s="1"/>
  <c r="H48" i="35" s="1"/>
  <c r="F46" i="35"/>
  <c r="F43" i="35"/>
  <c r="E87" i="35"/>
  <c r="E85" i="35"/>
  <c r="C60" i="43"/>
  <c r="F77" i="43"/>
  <c r="E73" i="43"/>
  <c r="H72" i="43"/>
  <c r="F72" i="43"/>
  <c r="H69" i="43"/>
  <c r="F69" i="43"/>
  <c r="F66" i="43"/>
  <c r="G66" i="43" s="1"/>
  <c r="H66" i="43" s="1"/>
  <c r="H64" i="43"/>
  <c r="F64" i="43"/>
  <c r="G63" i="43"/>
  <c r="G65" i="43" s="1"/>
  <c r="E63" i="43"/>
  <c r="E65" i="43" s="1"/>
  <c r="E67" i="43" s="1"/>
  <c r="H62" i="43"/>
  <c r="F62" i="43"/>
  <c r="H61" i="43"/>
  <c r="F61" i="43"/>
  <c r="C99" i="44"/>
  <c r="C84" i="44"/>
  <c r="C69" i="44"/>
  <c r="C54" i="44"/>
  <c r="C233" i="44"/>
  <c r="C232" i="44"/>
  <c r="C249" i="44" s="1"/>
  <c r="C231" i="44"/>
  <c r="C248" i="44" s="1"/>
  <c r="C230" i="44"/>
  <c r="C247" i="44" s="1"/>
  <c r="C229" i="44"/>
  <c r="C246" i="44" s="1"/>
  <c r="C228" i="44"/>
  <c r="C245" i="44" s="1"/>
  <c r="C217" i="44"/>
  <c r="C216" i="44"/>
  <c r="C215" i="44"/>
  <c r="C214" i="44"/>
  <c r="C213" i="44"/>
  <c r="C212" i="44"/>
  <c r="C209" i="44"/>
  <c r="C208" i="44"/>
  <c r="C207" i="44"/>
  <c r="C206" i="44"/>
  <c r="C205" i="44"/>
  <c r="C204" i="44"/>
  <c r="C185" i="44"/>
  <c r="C184" i="44"/>
  <c r="C183" i="44"/>
  <c r="C182" i="44"/>
  <c r="C181" i="44"/>
  <c r="C180" i="44"/>
  <c r="C164" i="44"/>
  <c r="C163" i="44"/>
  <c r="C162" i="44"/>
  <c r="C161" i="44"/>
  <c r="C160" i="44"/>
  <c r="C159" i="44"/>
  <c r="C156" i="44"/>
  <c r="C155" i="44"/>
  <c r="C154" i="44"/>
  <c r="C153" i="44"/>
  <c r="C152" i="44"/>
  <c r="C151" i="44"/>
  <c r="C148" i="44"/>
  <c r="C147" i="44"/>
  <c r="C146" i="44"/>
  <c r="C145" i="44"/>
  <c r="C144" i="44"/>
  <c r="C143" i="44"/>
  <c r="C140" i="44"/>
  <c r="C139" i="44"/>
  <c r="C138" i="44"/>
  <c r="C137" i="44"/>
  <c r="C136" i="44"/>
  <c r="C135" i="44"/>
  <c r="C128" i="44"/>
  <c r="C127" i="44"/>
  <c r="C126" i="44"/>
  <c r="C125" i="44"/>
  <c r="C124" i="44"/>
  <c r="C123" i="44"/>
  <c r="C120" i="44"/>
  <c r="C119" i="44"/>
  <c r="C118" i="44"/>
  <c r="C117" i="44"/>
  <c r="C116" i="44"/>
  <c r="C115" i="44"/>
  <c r="C22" i="44"/>
  <c r="C21" i="44"/>
  <c r="C20" i="44"/>
  <c r="C19" i="44"/>
  <c r="C18" i="44"/>
  <c r="C17" i="44"/>
  <c r="F39" i="44"/>
  <c r="J123" i="44"/>
  <c r="E35" i="44"/>
  <c r="H34" i="44"/>
  <c r="F34" i="44"/>
  <c r="F32" i="44"/>
  <c r="F30" i="44"/>
  <c r="H30" i="44" s="1"/>
  <c r="H29" i="44"/>
  <c r="F29" i="44"/>
  <c r="F56" i="33"/>
  <c r="G56" i="33"/>
  <c r="G65" i="33" s="1"/>
  <c r="H56" i="33"/>
  <c r="E56" i="33"/>
  <c r="E65" i="33" s="1"/>
  <c r="F56" i="32"/>
  <c r="G56" i="32"/>
  <c r="H56" i="32"/>
  <c r="E56" i="32"/>
  <c r="E65" i="32" s="1"/>
  <c r="H64" i="33"/>
  <c r="H62" i="33"/>
  <c r="G59" i="33"/>
  <c r="G61" i="33" s="1"/>
  <c r="G63" i="33" s="1"/>
  <c r="H58" i="33"/>
  <c r="H57" i="33"/>
  <c r="F64" i="33"/>
  <c r="F62" i="33"/>
  <c r="E59" i="33"/>
  <c r="E61" i="33" s="1"/>
  <c r="E63" i="33" s="1"/>
  <c r="F58" i="33"/>
  <c r="F57" i="33"/>
  <c r="H58" i="32"/>
  <c r="H57" i="32"/>
  <c r="F58" i="32"/>
  <c r="F57" i="32"/>
  <c r="E57" i="43"/>
  <c r="E38" i="43"/>
  <c r="E54" i="43"/>
  <c r="E35" i="43"/>
  <c r="F58" i="43"/>
  <c r="H53" i="43"/>
  <c r="F53" i="43"/>
  <c r="E51" i="43"/>
  <c r="H50" i="43"/>
  <c r="F50" i="43"/>
  <c r="H49" i="43"/>
  <c r="F49" i="43"/>
  <c r="F47" i="43"/>
  <c r="G47" i="43" s="1"/>
  <c r="H47" i="43" s="1"/>
  <c r="H45" i="43"/>
  <c r="F45" i="43"/>
  <c r="G44" i="43"/>
  <c r="G46" i="43" s="1"/>
  <c r="E44" i="43"/>
  <c r="E46" i="43" s="1"/>
  <c r="H43" i="43"/>
  <c r="F43" i="43"/>
  <c r="H42" i="43"/>
  <c r="F42" i="43"/>
  <c r="E15" i="43"/>
  <c r="E69" i="33"/>
  <c r="E69" i="32"/>
  <c r="E65" i="34"/>
  <c r="E67" i="31"/>
  <c r="E60" i="30"/>
  <c r="E32" i="43"/>
  <c r="H24" i="43"/>
  <c r="F24" i="43"/>
  <c r="H23" i="43"/>
  <c r="F23" i="43"/>
  <c r="H26" i="43"/>
  <c r="F26" i="43"/>
  <c r="H30" i="43"/>
  <c r="F30" i="43"/>
  <c r="E14" i="43"/>
  <c r="F39" i="43"/>
  <c r="H34" i="43"/>
  <c r="F34" i="43"/>
  <c r="F31" i="43"/>
  <c r="G31" i="43" s="1"/>
  <c r="H31" i="43" s="1"/>
  <c r="F28" i="43"/>
  <c r="G28" i="43" s="1"/>
  <c r="G25" i="43"/>
  <c r="G27" i="43" s="1"/>
  <c r="E25" i="43"/>
  <c r="E27" i="43" s="1"/>
  <c r="E29" i="43" s="1"/>
  <c r="C89" i="35"/>
  <c r="C98" i="35" s="1"/>
  <c r="E89" i="35"/>
  <c r="C88" i="35"/>
  <c r="C97" i="35" s="1"/>
  <c r="C87" i="35"/>
  <c r="C96" i="35" s="1"/>
  <c r="C85" i="35"/>
  <c r="C94" i="35" s="1"/>
  <c r="C86" i="35"/>
  <c r="C95" i="35" s="1"/>
  <c r="C84" i="35"/>
  <c r="C93" i="35" s="1"/>
  <c r="C83" i="35"/>
  <c r="C92" i="35" s="1"/>
  <c r="E88" i="35"/>
  <c r="E86" i="35"/>
  <c r="E84" i="35"/>
  <c r="E83" i="35"/>
  <c r="G177" i="29"/>
  <c r="G178" i="29" s="1"/>
  <c r="G179" i="29" s="1"/>
  <c r="G180" i="29" s="1"/>
  <c r="G181" i="29" s="1"/>
  <c r="G182" i="29" s="1"/>
  <c r="G183" i="29" s="1"/>
  <c r="G184" i="29" s="1"/>
  <c r="G185" i="29" s="1"/>
  <c r="G186" i="29" s="1"/>
  <c r="G187" i="29" s="1"/>
  <c r="G188" i="29" s="1"/>
  <c r="G189" i="29" s="1"/>
  <c r="G190" i="29" s="1"/>
  <c r="G191" i="29" s="1"/>
  <c r="G192" i="29" s="1"/>
  <c r="G193" i="29" s="1"/>
  <c r="G194" i="29" s="1"/>
  <c r="G195" i="29" s="1"/>
  <c r="G196" i="29" s="1"/>
  <c r="G197" i="29" s="1"/>
  <c r="G198" i="29" s="1"/>
  <c r="G199" i="29" s="1"/>
  <c r="F199" i="29" s="1"/>
  <c r="B50" i="41" l="1"/>
  <c r="B58" i="41" s="1"/>
  <c r="E281" i="29"/>
  <c r="M105" i="43" s="1"/>
  <c r="C261" i="44"/>
  <c r="C269" i="44" s="1"/>
  <c r="C253" i="44"/>
  <c r="C262" i="44"/>
  <c r="C270" i="44" s="1"/>
  <c r="C254" i="44"/>
  <c r="C263" i="44"/>
  <c r="C271" i="44" s="1"/>
  <c r="C255" i="44"/>
  <c r="C264" i="44"/>
  <c r="C272" i="44" s="1"/>
  <c r="C256" i="44"/>
  <c r="C265" i="44"/>
  <c r="C273" i="44" s="1"/>
  <c r="C257" i="44"/>
  <c r="E48" i="43"/>
  <c r="G67" i="44"/>
  <c r="G52" i="44"/>
  <c r="H52" i="44" s="1"/>
  <c r="G97" i="44"/>
  <c r="H97" i="44" s="1"/>
  <c r="G82" i="44"/>
  <c r="H82" i="44" s="1"/>
  <c r="G39" i="43"/>
  <c r="H39" i="43" s="1"/>
  <c r="J85" i="43"/>
  <c r="J116" i="43"/>
  <c r="E135" i="43"/>
  <c r="G58" i="43"/>
  <c r="H58" i="43" s="1"/>
  <c r="E134" i="43"/>
  <c r="J86" i="43"/>
  <c r="J117" i="43"/>
  <c r="E151" i="35"/>
  <c r="E155" i="35"/>
  <c r="E153" i="35"/>
  <c r="E152" i="35"/>
  <c r="E156" i="35"/>
  <c r="E157" i="35"/>
  <c r="E154" i="35"/>
  <c r="C116" i="35"/>
  <c r="C107" i="35"/>
  <c r="C110" i="35"/>
  <c r="C101" i="35"/>
  <c r="C111" i="35"/>
  <c r="C102" i="35"/>
  <c r="C113" i="35"/>
  <c r="C104" i="35"/>
  <c r="C112" i="35"/>
  <c r="C103" i="35"/>
  <c r="C115" i="35"/>
  <c r="C106" i="35"/>
  <c r="C114" i="35"/>
  <c r="C105" i="35"/>
  <c r="E92" i="35"/>
  <c r="E93" i="35"/>
  <c r="E95" i="35"/>
  <c r="E97" i="35"/>
  <c r="E116" i="35"/>
  <c r="E94" i="35"/>
  <c r="E96" i="35"/>
  <c r="H14" i="49"/>
  <c r="N351" i="29"/>
  <c r="N352" i="29"/>
  <c r="H351" i="29"/>
  <c r="M351" i="29"/>
  <c r="M352" i="29"/>
  <c r="E351" i="29"/>
  <c r="E352" i="29"/>
  <c r="O352" i="29"/>
  <c r="O351" i="29"/>
  <c r="F351" i="29"/>
  <c r="G351" i="29"/>
  <c r="H14" i="48"/>
  <c r="F59" i="33"/>
  <c r="F61" i="33" s="1"/>
  <c r="F63" i="33" s="1"/>
  <c r="H63" i="43"/>
  <c r="H65" i="43" s="1"/>
  <c r="H67" i="43" s="1"/>
  <c r="G112" i="44"/>
  <c r="E118" i="44"/>
  <c r="E126" i="44" s="1"/>
  <c r="E207" i="44" s="1"/>
  <c r="J128" i="44"/>
  <c r="E156" i="44"/>
  <c r="E217" i="44" s="1"/>
  <c r="E225" i="44" s="1"/>
  <c r="E155" i="44"/>
  <c r="E216" i="44" s="1"/>
  <c r="E224" i="44" s="1"/>
  <c r="E153" i="44"/>
  <c r="E214" i="44" s="1"/>
  <c r="E222" i="44" s="1"/>
  <c r="E80" i="43"/>
  <c r="E105" i="43"/>
  <c r="H70" i="43"/>
  <c r="G77" i="43"/>
  <c r="F63" i="43"/>
  <c r="F65" i="43" s="1"/>
  <c r="F67" i="43" s="1"/>
  <c r="J87" i="43"/>
  <c r="B77" i="41"/>
  <c r="E268" i="29"/>
  <c r="F127" i="29"/>
  <c r="H127" i="29" s="1"/>
  <c r="F65" i="33"/>
  <c r="H65" i="33"/>
  <c r="H59" i="33"/>
  <c r="H61" i="33" s="1"/>
  <c r="H63" i="33" s="1"/>
  <c r="H14" i="47"/>
  <c r="H281" i="29"/>
  <c r="AK153" i="44" s="1"/>
  <c r="F281" i="29"/>
  <c r="U114" i="35" s="1"/>
  <c r="G281" i="29"/>
  <c r="AC105" i="43" s="1"/>
  <c r="E253" i="29"/>
  <c r="L297" i="29"/>
  <c r="L323" i="29"/>
  <c r="L352" i="29" s="1"/>
  <c r="E297" i="29"/>
  <c r="M298" i="29"/>
  <c r="M324" i="29"/>
  <c r="M353" i="29" s="1"/>
  <c r="F297" i="29"/>
  <c r="F323" i="29"/>
  <c r="F352" i="29" s="1"/>
  <c r="G297" i="29"/>
  <c r="G323" i="29"/>
  <c r="N298" i="29"/>
  <c r="N324" i="29"/>
  <c r="N353" i="29" s="1"/>
  <c r="H297" i="29"/>
  <c r="H323" i="29"/>
  <c r="O298" i="29"/>
  <c r="O324" i="29"/>
  <c r="O353" i="29" s="1"/>
  <c r="Q9" i="49"/>
  <c r="G9" i="49" s="1"/>
  <c r="J9" i="50"/>
  <c r="G9" i="50" s="1"/>
  <c r="J9" i="45"/>
  <c r="J62" i="45"/>
  <c r="J68" i="45"/>
  <c r="J63" i="45"/>
  <c r="J65" i="45"/>
  <c r="J64" i="45"/>
  <c r="J67" i="45"/>
  <c r="J66" i="45"/>
  <c r="H21" i="45"/>
  <c r="H23" i="45" s="1"/>
  <c r="H25" i="45" s="1"/>
  <c r="G25" i="45"/>
  <c r="G29" i="45" s="1"/>
  <c r="E29" i="45"/>
  <c r="F21" i="45"/>
  <c r="F23" i="45" s="1"/>
  <c r="F25" i="45" s="1"/>
  <c r="F28" i="45"/>
  <c r="E33" i="45"/>
  <c r="E34" i="45" s="1"/>
  <c r="G36" i="45"/>
  <c r="H27" i="45"/>
  <c r="H28" i="45" s="1"/>
  <c r="E74" i="43"/>
  <c r="E75" i="43" s="1"/>
  <c r="E120" i="44"/>
  <c r="E119" i="44"/>
  <c r="E154" i="44"/>
  <c r="E117" i="44"/>
  <c r="E109" i="44"/>
  <c r="E110" i="44" s="1"/>
  <c r="F102" i="44"/>
  <c r="F106" i="44" s="1"/>
  <c r="F193" i="44" s="1"/>
  <c r="F61" i="35"/>
  <c r="F87" i="44"/>
  <c r="F91" i="44" s="1"/>
  <c r="F192" i="44" s="1"/>
  <c r="F72" i="44"/>
  <c r="F76" i="44" s="1"/>
  <c r="F191" i="44" s="1"/>
  <c r="G102" i="44"/>
  <c r="G106" i="44" s="1"/>
  <c r="G193" i="44" s="1"/>
  <c r="H101" i="44"/>
  <c r="H102" i="44" s="1"/>
  <c r="H106" i="44" s="1"/>
  <c r="H193" i="44" s="1"/>
  <c r="E94" i="44"/>
  <c r="E95" i="44" s="1"/>
  <c r="G87" i="44"/>
  <c r="G91" i="44" s="1"/>
  <c r="G192" i="44" s="1"/>
  <c r="H86" i="44"/>
  <c r="H87" i="44" s="1"/>
  <c r="H91" i="44" s="1"/>
  <c r="H192" i="44" s="1"/>
  <c r="E79" i="44"/>
  <c r="E80" i="44" s="1"/>
  <c r="H71" i="44"/>
  <c r="H72" i="44" s="1"/>
  <c r="H76" i="44" s="1"/>
  <c r="H191" i="44" s="1"/>
  <c r="G72" i="44"/>
  <c r="G76" i="44" s="1"/>
  <c r="G191" i="44" s="1"/>
  <c r="F57" i="44"/>
  <c r="F61" i="44" s="1"/>
  <c r="F190" i="44" s="1"/>
  <c r="F44" i="44"/>
  <c r="F46" i="44" s="1"/>
  <c r="F189" i="44" s="1"/>
  <c r="H56" i="44"/>
  <c r="H57" i="44" s="1"/>
  <c r="H61" i="44" s="1"/>
  <c r="H190" i="44" s="1"/>
  <c r="H44" i="44"/>
  <c r="H46" i="44" s="1"/>
  <c r="H189" i="44" s="1"/>
  <c r="F31" i="44"/>
  <c r="F33" i="44" s="1"/>
  <c r="F188" i="44" s="1"/>
  <c r="H31" i="44"/>
  <c r="E64" i="44"/>
  <c r="E65" i="44" s="1"/>
  <c r="E49" i="44"/>
  <c r="E50" i="44" s="1"/>
  <c r="G61" i="35"/>
  <c r="G67" i="43"/>
  <c r="E71" i="43"/>
  <c r="E131" i="43" s="1"/>
  <c r="F70" i="43"/>
  <c r="H51" i="35"/>
  <c r="H61" i="35" s="1"/>
  <c r="G56" i="35"/>
  <c r="H41" i="35"/>
  <c r="E98" i="35"/>
  <c r="E104" i="43"/>
  <c r="E81" i="43"/>
  <c r="G33" i="44"/>
  <c r="G188" i="44" s="1"/>
  <c r="H32" i="44"/>
  <c r="E36" i="44"/>
  <c r="E37" i="44" s="1"/>
  <c r="G39" i="44"/>
  <c r="G66" i="33"/>
  <c r="E66" i="33"/>
  <c r="F51" i="43"/>
  <c r="G48" i="43"/>
  <c r="E36" i="43"/>
  <c r="E37" i="43" s="1"/>
  <c r="H44" i="43"/>
  <c r="H46" i="43" s="1"/>
  <c r="E52" i="43"/>
  <c r="E130" i="43" s="1"/>
  <c r="E55" i="43"/>
  <c r="E56" i="43" s="1"/>
  <c r="F44" i="43"/>
  <c r="F46" i="43" s="1"/>
  <c r="G51" i="43"/>
  <c r="H51" i="43"/>
  <c r="H25" i="43"/>
  <c r="H27" i="43" s="1"/>
  <c r="F25" i="43"/>
  <c r="F27" i="43" s="1"/>
  <c r="F29" i="43" s="1"/>
  <c r="F32" i="43"/>
  <c r="H32" i="43"/>
  <c r="G32" i="43"/>
  <c r="E33" i="43"/>
  <c r="E129" i="43" s="1"/>
  <c r="H28" i="43"/>
  <c r="G29" i="43"/>
  <c r="E115" i="35"/>
  <c r="E110" i="35"/>
  <c r="E114" i="35"/>
  <c r="E113" i="35"/>
  <c r="E112" i="35"/>
  <c r="E111" i="35"/>
  <c r="F190" i="29"/>
  <c r="F191" i="29"/>
  <c r="F181" i="29"/>
  <c r="F180" i="29"/>
  <c r="F178" i="29"/>
  <c r="F179" i="29"/>
  <c r="F193" i="29"/>
  <c r="F192" i="29"/>
  <c r="F189" i="29"/>
  <c r="F177" i="29"/>
  <c r="F205" i="29" s="1"/>
  <c r="F188" i="29"/>
  <c r="F187" i="29"/>
  <c r="F198" i="29"/>
  <c r="F186" i="29"/>
  <c r="F197" i="29"/>
  <c r="F185" i="29"/>
  <c r="F196" i="29"/>
  <c r="F184" i="29"/>
  <c r="F195" i="29"/>
  <c r="F183" i="29"/>
  <c r="F194" i="29"/>
  <c r="F182" i="29"/>
  <c r="U117" i="29"/>
  <c r="J269" i="29" l="1"/>
  <c r="G274" i="29"/>
  <c r="AE122" i="31" s="1"/>
  <c r="H274" i="29"/>
  <c r="AK122" i="31" s="1"/>
  <c r="F274" i="29"/>
  <c r="E274" i="29"/>
  <c r="J192" i="44"/>
  <c r="L49" i="40" s="1"/>
  <c r="J190" i="44"/>
  <c r="L47" i="40" s="1"/>
  <c r="J189" i="44"/>
  <c r="L46" i="40" s="1"/>
  <c r="J191" i="44"/>
  <c r="L48" i="40" s="1"/>
  <c r="J193" i="44"/>
  <c r="L50" i="40" s="1"/>
  <c r="U116" i="35"/>
  <c r="AK112" i="35"/>
  <c r="AK154" i="44"/>
  <c r="AC154" i="44"/>
  <c r="AC116" i="35"/>
  <c r="U104" i="43"/>
  <c r="U153" i="44"/>
  <c r="AK116" i="35"/>
  <c r="AC112" i="35"/>
  <c r="U112" i="35"/>
  <c r="AK111" i="35"/>
  <c r="AK115" i="35"/>
  <c r="AK114" i="35"/>
  <c r="AC104" i="43"/>
  <c r="M154" i="44"/>
  <c r="U115" i="35"/>
  <c r="AC114" i="35"/>
  <c r="AK104" i="43"/>
  <c r="M153" i="44"/>
  <c r="E125" i="35"/>
  <c r="M104" i="43"/>
  <c r="M109" i="43" s="1"/>
  <c r="AC113" i="35"/>
  <c r="AC111" i="35"/>
  <c r="AC120" i="35" s="1"/>
  <c r="U110" i="35"/>
  <c r="U105" i="43"/>
  <c r="AK155" i="44"/>
  <c r="U156" i="44"/>
  <c r="AC115" i="35"/>
  <c r="U155" i="44"/>
  <c r="AC155" i="44"/>
  <c r="AC156" i="44"/>
  <c r="M155" i="44"/>
  <c r="U113" i="35"/>
  <c r="AK113" i="35"/>
  <c r="AK122" i="35" s="1"/>
  <c r="U111" i="35"/>
  <c r="AK110" i="35"/>
  <c r="AK156" i="44"/>
  <c r="AC153" i="44"/>
  <c r="M156" i="44"/>
  <c r="AC110" i="35"/>
  <c r="E120" i="35"/>
  <c r="AK105" i="43"/>
  <c r="U154" i="44"/>
  <c r="H67" i="44"/>
  <c r="F48" i="43"/>
  <c r="H48" i="43"/>
  <c r="H112" i="44"/>
  <c r="E180" i="33"/>
  <c r="E181" i="33"/>
  <c r="E175" i="33"/>
  <c r="E176" i="33"/>
  <c r="E174" i="33"/>
  <c r="E178" i="33"/>
  <c r="E173" i="33"/>
  <c r="E177" i="33"/>
  <c r="E179" i="33"/>
  <c r="G180" i="33"/>
  <c r="G175" i="33"/>
  <c r="G176" i="33"/>
  <c r="G178" i="33"/>
  <c r="G177" i="33"/>
  <c r="G181" i="33"/>
  <c r="G173" i="33"/>
  <c r="G174" i="33"/>
  <c r="G179" i="33"/>
  <c r="E144" i="43"/>
  <c r="E149" i="43" s="1"/>
  <c r="E145" i="43"/>
  <c r="E150" i="43" s="1"/>
  <c r="H77" i="43"/>
  <c r="G71" i="43"/>
  <c r="G131" i="43" s="1"/>
  <c r="E123" i="35"/>
  <c r="E122" i="35"/>
  <c r="E103" i="35"/>
  <c r="E162" i="35" s="1"/>
  <c r="M112" i="35"/>
  <c r="E171" i="35"/>
  <c r="E180" i="35" s="1"/>
  <c r="E121" i="35"/>
  <c r="E106" i="35"/>
  <c r="E165" i="35" s="1"/>
  <c r="M115" i="35"/>
  <c r="E104" i="35"/>
  <c r="E163" i="35" s="1"/>
  <c r="M113" i="35"/>
  <c r="E119" i="35"/>
  <c r="E187" i="35" s="1"/>
  <c r="E196" i="35" s="1"/>
  <c r="E169" i="35"/>
  <c r="E178" i="35" s="1"/>
  <c r="E174" i="35"/>
  <c r="E183" i="35" s="1"/>
  <c r="E124" i="35"/>
  <c r="E101" i="35"/>
  <c r="E160" i="35" s="1"/>
  <c r="M110" i="35"/>
  <c r="E175" i="35"/>
  <c r="E184" i="35" s="1"/>
  <c r="E102" i="35"/>
  <c r="E161" i="35" s="1"/>
  <c r="M111" i="35"/>
  <c r="E107" i="35"/>
  <c r="E166" i="35" s="1"/>
  <c r="M116" i="35"/>
  <c r="E105" i="35"/>
  <c r="E164" i="35" s="1"/>
  <c r="M114" i="35"/>
  <c r="C124" i="35"/>
  <c r="C147" i="35" s="1"/>
  <c r="C165" i="35" s="1"/>
  <c r="C174" i="35" s="1"/>
  <c r="C135" i="35"/>
  <c r="C122" i="35"/>
  <c r="C145" i="35" s="1"/>
  <c r="C154" i="35" s="1"/>
  <c r="C133" i="35"/>
  <c r="C120" i="35"/>
  <c r="C143" i="35" s="1"/>
  <c r="C161" i="35" s="1"/>
  <c r="C170" i="35" s="1"/>
  <c r="C131" i="35"/>
  <c r="C119" i="35"/>
  <c r="C142" i="35" s="1"/>
  <c r="C130" i="35"/>
  <c r="C121" i="35"/>
  <c r="C144" i="35" s="1"/>
  <c r="C162" i="35" s="1"/>
  <c r="C171" i="35" s="1"/>
  <c r="C132" i="35"/>
  <c r="C123" i="35"/>
  <c r="C146" i="35" s="1"/>
  <c r="C164" i="35" s="1"/>
  <c r="C173" i="35" s="1"/>
  <c r="C134" i="35"/>
  <c r="C125" i="35"/>
  <c r="C148" i="35" s="1"/>
  <c r="C166" i="35" s="1"/>
  <c r="C175" i="35" s="1"/>
  <c r="C136" i="35"/>
  <c r="E155" i="45"/>
  <c r="E154" i="45"/>
  <c r="E153" i="45"/>
  <c r="E150" i="45"/>
  <c r="E148" i="45"/>
  <c r="E151" i="45"/>
  <c r="E152" i="45"/>
  <c r="E149" i="45"/>
  <c r="E147" i="45"/>
  <c r="G151" i="45"/>
  <c r="G153" i="45"/>
  <c r="G152" i="45"/>
  <c r="G147" i="45"/>
  <c r="G149" i="45"/>
  <c r="G148" i="45"/>
  <c r="G150" i="45"/>
  <c r="G154" i="45"/>
  <c r="G155" i="45"/>
  <c r="H352" i="29"/>
  <c r="G352" i="29"/>
  <c r="E138" i="44"/>
  <c r="J138" i="44" s="1"/>
  <c r="E85" i="43"/>
  <c r="E139" i="43" s="1"/>
  <c r="F206" i="29"/>
  <c r="F208" i="29"/>
  <c r="F207" i="29"/>
  <c r="H66" i="33"/>
  <c r="F66" i="33"/>
  <c r="E86" i="43"/>
  <c r="H71" i="43"/>
  <c r="H131" i="43" s="1"/>
  <c r="F282" i="29"/>
  <c r="H282" i="29"/>
  <c r="E282" i="29"/>
  <c r="G282" i="29"/>
  <c r="F216" i="29"/>
  <c r="M299" i="29"/>
  <c r="M325" i="29"/>
  <c r="M354" i="29" s="1"/>
  <c r="L298" i="29"/>
  <c r="L324" i="29"/>
  <c r="N299" i="29"/>
  <c r="N325" i="29"/>
  <c r="N354" i="29" s="1"/>
  <c r="O299" i="29"/>
  <c r="O325" i="29"/>
  <c r="O354" i="29" s="1"/>
  <c r="G298" i="29"/>
  <c r="G324" i="29"/>
  <c r="G353" i="29" s="1"/>
  <c r="H298" i="29"/>
  <c r="H324" i="29"/>
  <c r="H353" i="29" s="1"/>
  <c r="E298" i="29"/>
  <c r="E324" i="29"/>
  <c r="F218" i="29"/>
  <c r="F220" i="29"/>
  <c r="F298" i="29"/>
  <c r="F324" i="29"/>
  <c r="F353" i="29" s="1"/>
  <c r="F223" i="29"/>
  <c r="F222" i="29"/>
  <c r="F221" i="29"/>
  <c r="F217" i="29"/>
  <c r="E162" i="44" s="1"/>
  <c r="F227" i="29"/>
  <c r="F211" i="29"/>
  <c r="F215" i="29"/>
  <c r="F210" i="29"/>
  <c r="F226" i="29"/>
  <c r="F213" i="29"/>
  <c r="F212" i="29"/>
  <c r="E110" i="43" s="1"/>
  <c r="E155" i="43" s="1"/>
  <c r="E160" i="43" s="1"/>
  <c r="F209" i="29"/>
  <c r="F214" i="29"/>
  <c r="F225" i="29"/>
  <c r="F219" i="29"/>
  <c r="F224" i="29"/>
  <c r="G9" i="45"/>
  <c r="H29" i="45"/>
  <c r="F29" i="45"/>
  <c r="H36" i="45"/>
  <c r="E146" i="44"/>
  <c r="J146" i="44" s="1"/>
  <c r="E127" i="44"/>
  <c r="E208" i="44" s="1"/>
  <c r="E140" i="44"/>
  <c r="J140" i="44" s="1"/>
  <c r="E215" i="44"/>
  <c r="E223" i="44" s="1"/>
  <c r="E128" i="44"/>
  <c r="E209" i="44" s="1"/>
  <c r="E139" i="44"/>
  <c r="J139" i="44" s="1"/>
  <c r="E137" i="44"/>
  <c r="J137" i="44" s="1"/>
  <c r="E125" i="44"/>
  <c r="E206" i="44" s="1"/>
  <c r="H33" i="44"/>
  <c r="H188" i="44" s="1"/>
  <c r="F71" i="43"/>
  <c r="F131" i="43" s="1"/>
  <c r="H56" i="35"/>
  <c r="E95" i="43"/>
  <c r="H39" i="44"/>
  <c r="G52" i="43"/>
  <c r="G130" i="43" s="1"/>
  <c r="F52" i="43"/>
  <c r="F130" i="43" s="1"/>
  <c r="E94" i="43"/>
  <c r="H52" i="43"/>
  <c r="H130" i="43" s="1"/>
  <c r="F33" i="43"/>
  <c r="F129" i="43" s="1"/>
  <c r="G33" i="43"/>
  <c r="G129" i="43" s="1"/>
  <c r="H29" i="43"/>
  <c r="H33" i="43" s="1"/>
  <c r="H129" i="43" s="1"/>
  <c r="E172" i="35"/>
  <c r="E181" i="35" s="1"/>
  <c r="E173" i="35"/>
  <c r="E182" i="35" s="1"/>
  <c r="E170" i="35"/>
  <c r="E179" i="35" s="1"/>
  <c r="G15" i="29"/>
  <c r="G16" i="29" s="1"/>
  <c r="AD122" i="31" l="1"/>
  <c r="AC122" i="31"/>
  <c r="AF122" i="31"/>
  <c r="AN122" i="31"/>
  <c r="AM122" i="31"/>
  <c r="AL122" i="31"/>
  <c r="E164" i="43"/>
  <c r="E169" i="43" s="1"/>
  <c r="J130" i="43"/>
  <c r="L43" i="40" s="1"/>
  <c r="J188" i="44"/>
  <c r="L45" i="40" s="1"/>
  <c r="J129" i="43"/>
  <c r="L42" i="40" s="1"/>
  <c r="J131" i="43"/>
  <c r="L44" i="40" s="1"/>
  <c r="E182" i="33"/>
  <c r="AK125" i="35"/>
  <c r="AC121" i="35"/>
  <c r="U120" i="35"/>
  <c r="AK120" i="35"/>
  <c r="E247" i="44"/>
  <c r="E255" i="44" s="1"/>
  <c r="AK121" i="35"/>
  <c r="E209" i="35"/>
  <c r="E218" i="35" s="1"/>
  <c r="AC119" i="35"/>
  <c r="E248" i="44"/>
  <c r="E256" i="44" s="1"/>
  <c r="AC122" i="35"/>
  <c r="M122" i="35"/>
  <c r="E208" i="35"/>
  <c r="E217" i="35" s="1"/>
  <c r="AC125" i="35"/>
  <c r="AK123" i="35"/>
  <c r="E211" i="35"/>
  <c r="E220" i="35" s="1"/>
  <c r="E249" i="44"/>
  <c r="E257" i="44" s="1"/>
  <c r="AK124" i="35"/>
  <c r="U125" i="35"/>
  <c r="E206" i="35"/>
  <c r="E215" i="35" s="1"/>
  <c r="U123" i="35"/>
  <c r="E246" i="44"/>
  <c r="E254" i="44" s="1"/>
  <c r="U121" i="35"/>
  <c r="E165" i="43"/>
  <c r="E170" i="43" s="1"/>
  <c r="AC124" i="35"/>
  <c r="AC123" i="35"/>
  <c r="U122" i="35"/>
  <c r="E205" i="35"/>
  <c r="E214" i="35" s="1"/>
  <c r="E207" i="35"/>
  <c r="E216" i="35" s="1"/>
  <c r="U124" i="35"/>
  <c r="U119" i="35"/>
  <c r="E210" i="35"/>
  <c r="E219" i="35" s="1"/>
  <c r="AK119" i="35"/>
  <c r="F180" i="33"/>
  <c r="F179" i="33"/>
  <c r="F181" i="33"/>
  <c r="F175" i="33"/>
  <c r="F178" i="33"/>
  <c r="F176" i="33"/>
  <c r="F174" i="33"/>
  <c r="F177" i="33"/>
  <c r="F173" i="33"/>
  <c r="H180" i="33"/>
  <c r="H177" i="33"/>
  <c r="H173" i="33"/>
  <c r="H174" i="33"/>
  <c r="H179" i="33"/>
  <c r="H178" i="33"/>
  <c r="H175" i="33"/>
  <c r="H181" i="33"/>
  <c r="H176" i="33"/>
  <c r="G182" i="33"/>
  <c r="J95" i="43"/>
  <c r="E140" i="43"/>
  <c r="C192" i="35"/>
  <c r="C201" i="35" s="1"/>
  <c r="C210" i="35" s="1"/>
  <c r="C183" i="35"/>
  <c r="C191" i="35"/>
  <c r="C200" i="35" s="1"/>
  <c r="C209" i="35" s="1"/>
  <c r="C182" i="35"/>
  <c r="C193" i="35"/>
  <c r="C202" i="35" s="1"/>
  <c r="C211" i="35" s="1"/>
  <c r="C184" i="35"/>
  <c r="C189" i="35"/>
  <c r="C198" i="35" s="1"/>
  <c r="C207" i="35" s="1"/>
  <c r="C180" i="35"/>
  <c r="C188" i="35"/>
  <c r="C197" i="35" s="1"/>
  <c r="C206" i="35" s="1"/>
  <c r="C179" i="35"/>
  <c r="C163" i="35"/>
  <c r="C172" i="35" s="1"/>
  <c r="C156" i="35"/>
  <c r="C157" i="35"/>
  <c r="C155" i="35"/>
  <c r="C152" i="35"/>
  <c r="C153" i="35"/>
  <c r="C151" i="35"/>
  <c r="C160" i="35"/>
  <c r="C169" i="35" s="1"/>
  <c r="F153" i="45"/>
  <c r="F149" i="45"/>
  <c r="F151" i="45"/>
  <c r="F147" i="45"/>
  <c r="F154" i="45"/>
  <c r="F150" i="45"/>
  <c r="F148" i="45"/>
  <c r="F152" i="45"/>
  <c r="F155" i="45"/>
  <c r="H153" i="45"/>
  <c r="H152" i="45"/>
  <c r="H148" i="45"/>
  <c r="H150" i="45"/>
  <c r="H147" i="45"/>
  <c r="H154" i="45"/>
  <c r="H149" i="45"/>
  <c r="H151" i="45"/>
  <c r="H155" i="45"/>
  <c r="L353" i="29"/>
  <c r="E353" i="29"/>
  <c r="M121" i="35" s="1"/>
  <c r="E100" i="43"/>
  <c r="J100" i="43" s="1"/>
  <c r="E145" i="44"/>
  <c r="J145" i="44" s="1"/>
  <c r="E148" i="44"/>
  <c r="J148" i="44" s="1"/>
  <c r="E231" i="44"/>
  <c r="E239" i="44" s="1"/>
  <c r="E193" i="35"/>
  <c r="E202" i="35" s="1"/>
  <c r="E188" i="35"/>
  <c r="E197" i="35" s="1"/>
  <c r="H299" i="29"/>
  <c r="H325" i="29"/>
  <c r="H354" i="29" s="1"/>
  <c r="G299" i="29"/>
  <c r="G325" i="29"/>
  <c r="G354" i="29" s="1"/>
  <c r="O300" i="29"/>
  <c r="O326" i="29"/>
  <c r="O355" i="29" s="1"/>
  <c r="L299" i="29"/>
  <c r="L325" i="29"/>
  <c r="M300" i="29"/>
  <c r="M326" i="29"/>
  <c r="M355" i="29" s="1"/>
  <c r="E299" i="29"/>
  <c r="E325" i="29"/>
  <c r="E354" i="29" s="1"/>
  <c r="F299" i="29"/>
  <c r="F325" i="29"/>
  <c r="N300" i="29"/>
  <c r="N326" i="29"/>
  <c r="N355" i="29" s="1"/>
  <c r="E164" i="44"/>
  <c r="E161" i="44"/>
  <c r="E230" i="44" s="1"/>
  <c r="E238" i="44" s="1"/>
  <c r="E163" i="44"/>
  <c r="E189" i="35"/>
  <c r="E198" i="35" s="1"/>
  <c r="E147" i="44"/>
  <c r="J147" i="44" s="1"/>
  <c r="G9" i="35"/>
  <c r="H9" i="35" s="1"/>
  <c r="G10" i="35"/>
  <c r="H10" i="35" s="1"/>
  <c r="G15" i="35"/>
  <c r="G16" i="35"/>
  <c r="G21" i="44" s="1"/>
  <c r="G200" i="44" s="1"/>
  <c r="G17" i="35"/>
  <c r="G18" i="35"/>
  <c r="H18" i="35" s="1"/>
  <c r="G19" i="35"/>
  <c r="H19" i="35" s="1"/>
  <c r="G20" i="35"/>
  <c r="H20" i="35" s="1"/>
  <c r="G21" i="35"/>
  <c r="H21" i="35" s="1"/>
  <c r="G23" i="35"/>
  <c r="H23" i="35" s="1"/>
  <c r="G24" i="35"/>
  <c r="H24" i="35" s="1"/>
  <c r="G25" i="35"/>
  <c r="H25" i="35" s="1"/>
  <c r="G26" i="35"/>
  <c r="H26" i="35" s="1"/>
  <c r="G27" i="35"/>
  <c r="H27" i="35" s="1"/>
  <c r="G28" i="35"/>
  <c r="H28" i="35" s="1"/>
  <c r="G29" i="35"/>
  <c r="H29" i="35" s="1"/>
  <c r="G30" i="35"/>
  <c r="H30" i="35" s="1"/>
  <c r="G31" i="35"/>
  <c r="H32" i="35"/>
  <c r="G12" i="35"/>
  <c r="G13" i="35"/>
  <c r="G14" i="35"/>
  <c r="G11" i="35"/>
  <c r="G22" i="44" s="1"/>
  <c r="G201" i="44" s="1"/>
  <c r="F28" i="35"/>
  <c r="H22" i="35"/>
  <c r="F9" i="35"/>
  <c r="F10" i="35"/>
  <c r="F11" i="35"/>
  <c r="F22" i="44" s="1"/>
  <c r="F201" i="44" s="1"/>
  <c r="F12" i="35"/>
  <c r="F89" i="35" s="1"/>
  <c r="F13" i="35"/>
  <c r="F14" i="35"/>
  <c r="F15" i="35"/>
  <c r="F20" i="44" s="1"/>
  <c r="F199" i="44" s="1"/>
  <c r="F16" i="35"/>
  <c r="F21" i="44" s="1"/>
  <c r="F200" i="44" s="1"/>
  <c r="F17" i="35"/>
  <c r="F87" i="35" s="1"/>
  <c r="F18" i="35"/>
  <c r="F19" i="35"/>
  <c r="F20" i="35"/>
  <c r="F21" i="35"/>
  <c r="F22" i="35"/>
  <c r="F23" i="35"/>
  <c r="F24" i="35"/>
  <c r="F25" i="35"/>
  <c r="F26" i="35"/>
  <c r="F27" i="35"/>
  <c r="F29" i="35"/>
  <c r="F30" i="35"/>
  <c r="F31" i="35"/>
  <c r="F32" i="35"/>
  <c r="F8" i="35"/>
  <c r="G61" i="34"/>
  <c r="E61" i="34"/>
  <c r="H56" i="34"/>
  <c r="F56" i="34"/>
  <c r="H54" i="34"/>
  <c r="F54" i="34"/>
  <c r="H53" i="34"/>
  <c r="F53" i="34"/>
  <c r="F23" i="34"/>
  <c r="G23" i="34" s="1"/>
  <c r="H23" i="34" s="1"/>
  <c r="G17" i="34"/>
  <c r="E17" i="34"/>
  <c r="H17" i="34"/>
  <c r="F17" i="34"/>
  <c r="G15" i="34"/>
  <c r="E15" i="34"/>
  <c r="H14" i="34"/>
  <c r="H15" i="34" s="1"/>
  <c r="F14" i="34"/>
  <c r="F15" i="34" s="1"/>
  <c r="E13" i="34"/>
  <c r="H12" i="34"/>
  <c r="H13" i="34" s="1"/>
  <c r="F12" i="34"/>
  <c r="F13" i="34" s="1"/>
  <c r="G13" i="34"/>
  <c r="F11" i="34"/>
  <c r="G11" i="34"/>
  <c r="H11" i="34"/>
  <c r="E11" i="34"/>
  <c r="E9" i="34"/>
  <c r="F69" i="34"/>
  <c r="H64" i="34"/>
  <c r="F64" i="34"/>
  <c r="H60" i="34"/>
  <c r="H61" i="34" s="1"/>
  <c r="F60" i="34"/>
  <c r="F61" i="34" s="1"/>
  <c r="F58" i="34"/>
  <c r="G58" i="34" s="1"/>
  <c r="H58" i="34" s="1"/>
  <c r="G55" i="34"/>
  <c r="G57" i="34" s="1"/>
  <c r="E55" i="34"/>
  <c r="E57" i="34" s="1"/>
  <c r="E59" i="34" s="1"/>
  <c r="F73" i="33"/>
  <c r="F70" i="33" s="1"/>
  <c r="H68" i="33"/>
  <c r="F68" i="33"/>
  <c r="F27" i="33"/>
  <c r="F25" i="33"/>
  <c r="G25" i="33" s="1"/>
  <c r="H25" i="33" s="1"/>
  <c r="H22" i="33"/>
  <c r="F22" i="33"/>
  <c r="H21" i="33"/>
  <c r="F21" i="33"/>
  <c r="H15" i="33"/>
  <c r="G15" i="33"/>
  <c r="G23" i="33" s="1"/>
  <c r="F15" i="33"/>
  <c r="E15" i="33"/>
  <c r="E19" i="33" s="1"/>
  <c r="F13" i="33"/>
  <c r="H11" i="33"/>
  <c r="G11" i="33"/>
  <c r="F11" i="33"/>
  <c r="E11" i="33"/>
  <c r="F13" i="32"/>
  <c r="G13" i="32" s="1"/>
  <c r="H13" i="32" s="1"/>
  <c r="F64" i="32"/>
  <c r="F62" i="32"/>
  <c r="H62" i="32" s="1"/>
  <c r="F59" i="32"/>
  <c r="F61" i="32" s="1"/>
  <c r="F63" i="32" s="1"/>
  <c r="G59" i="32"/>
  <c r="G61" i="32" s="1"/>
  <c r="G63" i="32" s="1"/>
  <c r="H59" i="32"/>
  <c r="H61" i="32" s="1"/>
  <c r="F27" i="32"/>
  <c r="E25" i="32"/>
  <c r="F25" i="32" s="1"/>
  <c r="G25" i="32" s="1"/>
  <c r="H25" i="32" s="1"/>
  <c r="H22" i="32"/>
  <c r="F22" i="32"/>
  <c r="F15" i="32"/>
  <c r="G15" i="32"/>
  <c r="G23" i="32" s="1"/>
  <c r="H15" i="32"/>
  <c r="E15" i="32"/>
  <c r="E23" i="32" s="1"/>
  <c r="H21" i="32"/>
  <c r="F21" i="32"/>
  <c r="F11" i="32"/>
  <c r="G11" i="32"/>
  <c r="G65" i="32" s="1"/>
  <c r="H11" i="32"/>
  <c r="E11" i="32"/>
  <c r="F73" i="32"/>
  <c r="J93" i="32"/>
  <c r="H68" i="32"/>
  <c r="F68" i="32"/>
  <c r="H64" i="32"/>
  <c r="E59" i="32"/>
  <c r="E61" i="32" s="1"/>
  <c r="E63" i="32" s="1"/>
  <c r="H19" i="31"/>
  <c r="G19" i="31"/>
  <c r="E63" i="31"/>
  <c r="G62" i="31"/>
  <c r="G61" i="31"/>
  <c r="G59" i="31"/>
  <c r="G55" i="31"/>
  <c r="G54" i="31"/>
  <c r="E53" i="31"/>
  <c r="G50" i="31"/>
  <c r="G56" i="31" s="1"/>
  <c r="E50" i="31"/>
  <c r="E56" i="31" s="1"/>
  <c r="E57" i="31" s="1"/>
  <c r="E17" i="31"/>
  <c r="E9" i="31"/>
  <c r="E8" i="31"/>
  <c r="C229" i="35" l="1"/>
  <c r="C238" i="35" s="1"/>
  <c r="C220" i="35"/>
  <c r="C215" i="35"/>
  <c r="C224" i="35"/>
  <c r="C233" i="35" s="1"/>
  <c r="C216" i="35"/>
  <c r="C225" i="35"/>
  <c r="C234" i="35" s="1"/>
  <c r="C218" i="35"/>
  <c r="C227" i="35"/>
  <c r="C236" i="35" s="1"/>
  <c r="C228" i="35"/>
  <c r="C237" i="35" s="1"/>
  <c r="C219" i="35"/>
  <c r="H182" i="33"/>
  <c r="F182" i="33"/>
  <c r="M123" i="35"/>
  <c r="M119" i="35"/>
  <c r="E133" i="35"/>
  <c r="E226" i="35" s="1"/>
  <c r="E235" i="35" s="1"/>
  <c r="E132" i="35"/>
  <c r="E225" i="35" s="1"/>
  <c r="E234" i="35" s="1"/>
  <c r="M120" i="35"/>
  <c r="M125" i="35"/>
  <c r="M124" i="35"/>
  <c r="AL156" i="44"/>
  <c r="N156" i="44"/>
  <c r="AD156" i="44"/>
  <c r="V156" i="44"/>
  <c r="AE156" i="44"/>
  <c r="AM156" i="44"/>
  <c r="W156" i="44"/>
  <c r="O156" i="44"/>
  <c r="N154" i="44"/>
  <c r="AD154" i="44"/>
  <c r="AL154" i="44"/>
  <c r="V154" i="44"/>
  <c r="AL155" i="44"/>
  <c r="V155" i="44"/>
  <c r="N155" i="44"/>
  <c r="AD155" i="44"/>
  <c r="W155" i="44"/>
  <c r="AE155" i="44"/>
  <c r="AM155" i="44"/>
  <c r="O155" i="44"/>
  <c r="C187" i="35"/>
  <c r="C196" i="35" s="1"/>
  <c r="C205" i="35" s="1"/>
  <c r="C178" i="35"/>
  <c r="C190" i="35"/>
  <c r="C199" i="35" s="1"/>
  <c r="C208" i="35" s="1"/>
  <c r="C181" i="35"/>
  <c r="F19" i="44"/>
  <c r="F198" i="44" s="1"/>
  <c r="AL116" i="35"/>
  <c r="AL125" i="35" s="1"/>
  <c r="V116" i="35"/>
  <c r="V125" i="35" s="1"/>
  <c r="AD116" i="35"/>
  <c r="AD125" i="35" s="1"/>
  <c r="F157" i="35"/>
  <c r="V114" i="35"/>
  <c r="V123" i="35" s="1"/>
  <c r="AD114" i="35"/>
  <c r="AD123" i="35" s="1"/>
  <c r="AL114" i="35"/>
  <c r="AL123" i="35" s="1"/>
  <c r="F155" i="35"/>
  <c r="H13" i="35"/>
  <c r="F114" i="35"/>
  <c r="L354" i="29"/>
  <c r="F354" i="29"/>
  <c r="F276" i="32"/>
  <c r="F192" i="32"/>
  <c r="F228" i="32"/>
  <c r="E232" i="44"/>
  <c r="E240" i="44" s="1"/>
  <c r="E233" i="44"/>
  <c r="E241" i="44" s="1"/>
  <c r="E190" i="35"/>
  <c r="E199" i="35" s="1"/>
  <c r="E191" i="35"/>
  <c r="E200" i="35" s="1"/>
  <c r="E192" i="35"/>
  <c r="E201" i="35" s="1"/>
  <c r="F119" i="44"/>
  <c r="F155" i="44"/>
  <c r="F156" i="44"/>
  <c r="F120" i="44"/>
  <c r="F118" i="44"/>
  <c r="F154" i="44"/>
  <c r="G69" i="34"/>
  <c r="G73" i="32"/>
  <c r="F9" i="34"/>
  <c r="G9" i="34" s="1"/>
  <c r="E18" i="34"/>
  <c r="E24" i="34" s="1"/>
  <c r="F23" i="33"/>
  <c r="M301" i="29"/>
  <c r="M327" i="29"/>
  <c r="M356" i="29" s="1"/>
  <c r="L300" i="29"/>
  <c r="L326" i="29"/>
  <c r="L355" i="29" s="1"/>
  <c r="N301" i="29"/>
  <c r="N327" i="29"/>
  <c r="O301" i="29"/>
  <c r="O327" i="29"/>
  <c r="O356" i="29" s="1"/>
  <c r="G300" i="29"/>
  <c r="G326" i="29"/>
  <c r="G355" i="29" s="1"/>
  <c r="H300" i="29"/>
  <c r="H326" i="29"/>
  <c r="H355" i="29" s="1"/>
  <c r="F300" i="29"/>
  <c r="F326" i="29"/>
  <c r="F355" i="29" s="1"/>
  <c r="E300" i="29"/>
  <c r="E326" i="29"/>
  <c r="H14" i="35"/>
  <c r="G19" i="44"/>
  <c r="G198" i="44" s="1"/>
  <c r="G120" i="44"/>
  <c r="G156" i="44"/>
  <c r="H15" i="35"/>
  <c r="H20" i="44" s="1"/>
  <c r="H199" i="44" s="1"/>
  <c r="G20" i="44"/>
  <c r="G199" i="44" s="1"/>
  <c r="G119" i="44"/>
  <c r="G155" i="44"/>
  <c r="H12" i="35"/>
  <c r="H89" i="35" s="1"/>
  <c r="G89" i="35"/>
  <c r="G15" i="43"/>
  <c r="F83" i="35"/>
  <c r="F14" i="43"/>
  <c r="F98" i="35"/>
  <c r="F116" i="35"/>
  <c r="F125" i="35" s="1"/>
  <c r="F15" i="43"/>
  <c r="J94" i="43"/>
  <c r="E99" i="43"/>
  <c r="E109" i="43"/>
  <c r="E154" i="43" s="1"/>
  <c r="E159" i="43" s="1"/>
  <c r="F96" i="35"/>
  <c r="H31" i="35"/>
  <c r="H17" i="35"/>
  <c r="H87" i="35" s="1"/>
  <c r="G87" i="35"/>
  <c r="F84" i="35"/>
  <c r="F85" i="35"/>
  <c r="F86" i="35"/>
  <c r="H11" i="35"/>
  <c r="H22" i="44" s="1"/>
  <c r="H201" i="44" s="1"/>
  <c r="G88" i="35"/>
  <c r="H16" i="35"/>
  <c r="H21" i="44" s="1"/>
  <c r="H200" i="44" s="1"/>
  <c r="G84" i="35"/>
  <c r="G85" i="35"/>
  <c r="G86" i="35"/>
  <c r="F88" i="35"/>
  <c r="H23" i="33"/>
  <c r="G73" i="33"/>
  <c r="E23" i="33"/>
  <c r="E26" i="33" s="1"/>
  <c r="H63" i="32"/>
  <c r="F63" i="31"/>
  <c r="H55" i="34"/>
  <c r="H57" i="34" s="1"/>
  <c r="H59" i="34" s="1"/>
  <c r="E62" i="34"/>
  <c r="E70" i="32"/>
  <c r="E71" i="32" s="1"/>
  <c r="F55" i="34"/>
  <c r="F57" i="34" s="1"/>
  <c r="F59" i="34" s="1"/>
  <c r="G59" i="34"/>
  <c r="J85" i="34"/>
  <c r="J88" i="34"/>
  <c r="J90" i="34"/>
  <c r="E66" i="34"/>
  <c r="E67" i="34" s="1"/>
  <c r="J87" i="34"/>
  <c r="J89" i="34"/>
  <c r="J84" i="34"/>
  <c r="J86" i="34"/>
  <c r="J93" i="33"/>
  <c r="J88" i="33"/>
  <c r="J90" i="33"/>
  <c r="J92" i="33"/>
  <c r="J91" i="33"/>
  <c r="J89" i="33"/>
  <c r="F19" i="33"/>
  <c r="G27" i="33"/>
  <c r="G13" i="33"/>
  <c r="E70" i="33"/>
  <c r="E71" i="33" s="1"/>
  <c r="H65" i="32"/>
  <c r="F65" i="32"/>
  <c r="G27" i="32"/>
  <c r="E19" i="32"/>
  <c r="E26" i="32" s="1"/>
  <c r="G19" i="32"/>
  <c r="G26" i="32" s="1"/>
  <c r="F19" i="32"/>
  <c r="H23" i="32"/>
  <c r="F23" i="32"/>
  <c r="H19" i="32"/>
  <c r="J87" i="32"/>
  <c r="J89" i="32"/>
  <c r="J91" i="32"/>
  <c r="J94" i="32"/>
  <c r="J90" i="32"/>
  <c r="J92" i="32"/>
  <c r="J88" i="32"/>
  <c r="G63" i="31"/>
  <c r="E58" i="31"/>
  <c r="E60" i="31" s="1"/>
  <c r="F60" i="31" s="1"/>
  <c r="G53" i="31"/>
  <c r="G57" i="31"/>
  <c r="F71" i="31"/>
  <c r="E131" i="35" l="1"/>
  <c r="E224" i="35" s="1"/>
  <c r="E233" i="35" s="1"/>
  <c r="E135" i="35"/>
  <c r="E228" i="35" s="1"/>
  <c r="E237" i="35" s="1"/>
  <c r="E136" i="35"/>
  <c r="E229" i="35" s="1"/>
  <c r="E238" i="35" s="1"/>
  <c r="C226" i="35"/>
  <c r="C235" i="35" s="1"/>
  <c r="C217" i="35"/>
  <c r="E130" i="35"/>
  <c r="E223" i="35" s="1"/>
  <c r="E232" i="35" s="1"/>
  <c r="C223" i="35"/>
  <c r="C232" i="35" s="1"/>
  <c r="C214" i="35"/>
  <c r="E134" i="35"/>
  <c r="E227" i="35" s="1"/>
  <c r="E236" i="35" s="1"/>
  <c r="J182" i="33"/>
  <c r="L32" i="40" s="1"/>
  <c r="F249" i="44"/>
  <c r="F257" i="44" s="1"/>
  <c r="G248" i="44"/>
  <c r="G256" i="44" s="1"/>
  <c r="G249" i="44"/>
  <c r="G257" i="44" s="1"/>
  <c r="F248" i="44"/>
  <c r="F256" i="44" s="1"/>
  <c r="F247" i="44"/>
  <c r="F255" i="44" s="1"/>
  <c r="AM154" i="44"/>
  <c r="W154" i="44"/>
  <c r="O154" i="44"/>
  <c r="AE154" i="44"/>
  <c r="J201" i="44"/>
  <c r="P50" i="40" s="1"/>
  <c r="X156" i="44"/>
  <c r="AF156" i="44"/>
  <c r="P156" i="44"/>
  <c r="AN156" i="44"/>
  <c r="AF155" i="44"/>
  <c r="AN155" i="44"/>
  <c r="X155" i="44"/>
  <c r="P155" i="44"/>
  <c r="AN154" i="44"/>
  <c r="X154" i="44"/>
  <c r="P154" i="44"/>
  <c r="AF154" i="44"/>
  <c r="AM153" i="44"/>
  <c r="AE153" i="44"/>
  <c r="W153" i="44"/>
  <c r="O153" i="44"/>
  <c r="AL153" i="44"/>
  <c r="V153" i="44"/>
  <c r="AD153" i="44"/>
  <c r="N153" i="44"/>
  <c r="AL105" i="43"/>
  <c r="AD105" i="43"/>
  <c r="N105" i="43"/>
  <c r="V105" i="43"/>
  <c r="F135" i="43"/>
  <c r="AM105" i="43"/>
  <c r="AE105" i="43"/>
  <c r="O105" i="43"/>
  <c r="W105" i="43"/>
  <c r="G135" i="43"/>
  <c r="AL104" i="43"/>
  <c r="AD104" i="43"/>
  <c r="V104" i="43"/>
  <c r="N104" i="43"/>
  <c r="F134" i="43"/>
  <c r="F117" i="44"/>
  <c r="F137" i="44" s="1"/>
  <c r="K137" i="44" s="1"/>
  <c r="F153" i="44"/>
  <c r="F214" i="44" s="1"/>
  <c r="F222" i="44" s="1"/>
  <c r="V113" i="35"/>
  <c r="V122" i="35" s="1"/>
  <c r="AL113" i="35"/>
  <c r="AL122" i="35" s="1"/>
  <c r="AD113" i="35"/>
  <c r="AD122" i="35" s="1"/>
  <c r="F154" i="35"/>
  <c r="F107" i="35"/>
  <c r="F166" i="35" s="1"/>
  <c r="N116" i="35"/>
  <c r="AL112" i="35"/>
  <c r="AL121" i="35" s="1"/>
  <c r="AD112" i="35"/>
  <c r="AD121" i="35" s="1"/>
  <c r="V112" i="35"/>
  <c r="V121" i="35" s="1"/>
  <c r="F153" i="35"/>
  <c r="H19" i="44"/>
  <c r="H198" i="44" s="1"/>
  <c r="AL111" i="35"/>
  <c r="AL120" i="35" s="1"/>
  <c r="V111" i="35"/>
  <c r="V120" i="35" s="1"/>
  <c r="AD111" i="35"/>
  <c r="AD120" i="35" s="1"/>
  <c r="F152" i="35"/>
  <c r="V110" i="35"/>
  <c r="V119" i="35" s="1"/>
  <c r="AD110" i="35"/>
  <c r="AD119" i="35" s="1"/>
  <c r="AL110" i="35"/>
  <c r="AL119" i="35" s="1"/>
  <c r="F151" i="35"/>
  <c r="AF114" i="35"/>
  <c r="AF123" i="35" s="1"/>
  <c r="AN114" i="35"/>
  <c r="AN123" i="35" s="1"/>
  <c r="X114" i="35"/>
  <c r="X123" i="35" s="1"/>
  <c r="H155" i="35"/>
  <c r="AE116" i="35"/>
  <c r="AE125" i="35" s="1"/>
  <c r="AM116" i="35"/>
  <c r="AM125" i="35" s="1"/>
  <c r="W116" i="35"/>
  <c r="W125" i="35" s="1"/>
  <c r="G157" i="35"/>
  <c r="F173" i="35"/>
  <c r="F182" i="35" s="1"/>
  <c r="F123" i="35"/>
  <c r="F191" i="35" s="1"/>
  <c r="F200" i="35" s="1"/>
  <c r="AM113" i="35"/>
  <c r="AM122" i="35" s="1"/>
  <c r="AE113" i="35"/>
  <c r="AE122" i="35" s="1"/>
  <c r="W113" i="35"/>
  <c r="W122" i="35" s="1"/>
  <c r="G154" i="35"/>
  <c r="F105" i="35"/>
  <c r="F164" i="35" s="1"/>
  <c r="N114" i="35"/>
  <c r="AE115" i="35"/>
  <c r="AE124" i="35" s="1"/>
  <c r="AM115" i="35"/>
  <c r="AM124" i="35" s="1"/>
  <c r="W115" i="35"/>
  <c r="W124" i="35" s="1"/>
  <c r="G156" i="35"/>
  <c r="AE114" i="35"/>
  <c r="AE123" i="35" s="1"/>
  <c r="W114" i="35"/>
  <c r="W123" i="35" s="1"/>
  <c r="AM114" i="35"/>
  <c r="AM123" i="35" s="1"/>
  <c r="G155" i="35"/>
  <c r="AL115" i="35"/>
  <c r="AL124" i="35" s="1"/>
  <c r="AD115" i="35"/>
  <c r="AD124" i="35" s="1"/>
  <c r="V115" i="35"/>
  <c r="V124" i="35" s="1"/>
  <c r="F156" i="35"/>
  <c r="X116" i="35"/>
  <c r="X125" i="35" s="1"/>
  <c r="AF116" i="35"/>
  <c r="AF125" i="35" s="1"/>
  <c r="AN116" i="35"/>
  <c r="AN125" i="35" s="1"/>
  <c r="H157" i="35"/>
  <c r="AM112" i="35"/>
  <c r="AM121" i="35" s="1"/>
  <c r="AE112" i="35"/>
  <c r="AE121" i="35" s="1"/>
  <c r="W112" i="35"/>
  <c r="W121" i="35" s="1"/>
  <c r="G153" i="35"/>
  <c r="AE111" i="35"/>
  <c r="AE120" i="35" s="1"/>
  <c r="W111" i="35"/>
  <c r="W120" i="35" s="1"/>
  <c r="AM111" i="35"/>
  <c r="AM120" i="35" s="1"/>
  <c r="G152" i="35"/>
  <c r="F110" i="35"/>
  <c r="F111" i="35"/>
  <c r="F113" i="35"/>
  <c r="F112" i="35"/>
  <c r="F115" i="35"/>
  <c r="E355" i="29"/>
  <c r="G115" i="35"/>
  <c r="G114" i="35"/>
  <c r="J87" i="35"/>
  <c r="H114" i="35"/>
  <c r="J89" i="35"/>
  <c r="G112" i="35"/>
  <c r="G113" i="35"/>
  <c r="G111" i="35"/>
  <c r="J21" i="44"/>
  <c r="J200" i="44"/>
  <c r="P49" i="40" s="1"/>
  <c r="J20" i="44"/>
  <c r="J199" i="44"/>
  <c r="P48" i="40" s="1"/>
  <c r="H73" i="32"/>
  <c r="G192" i="32"/>
  <c r="G228" i="32"/>
  <c r="G276" i="32"/>
  <c r="J22" i="44"/>
  <c r="H73" i="33"/>
  <c r="F26" i="33"/>
  <c r="H69" i="34"/>
  <c r="F64" i="31"/>
  <c r="F138" i="44"/>
  <c r="K138" i="44" s="1"/>
  <c r="F139" i="44"/>
  <c r="K139" i="44" s="1"/>
  <c r="F140" i="44"/>
  <c r="K140" i="44" s="1"/>
  <c r="F216" i="44"/>
  <c r="F224" i="44" s="1"/>
  <c r="F163" i="44"/>
  <c r="F18" i="34"/>
  <c r="F24" i="34" s="1"/>
  <c r="F215" i="44"/>
  <c r="F223" i="44" s="1"/>
  <c r="F162" i="44"/>
  <c r="F217" i="44"/>
  <c r="F225" i="44" s="1"/>
  <c r="F164" i="44"/>
  <c r="H26" i="32"/>
  <c r="H301" i="29"/>
  <c r="H327" i="29"/>
  <c r="H356" i="29" s="1"/>
  <c r="N302" i="29"/>
  <c r="N328" i="29"/>
  <c r="G301" i="29"/>
  <c r="G327" i="29"/>
  <c r="L301" i="29"/>
  <c r="L327" i="29"/>
  <c r="E301" i="29"/>
  <c r="E327" i="29"/>
  <c r="E356" i="29" s="1"/>
  <c r="N356" i="29"/>
  <c r="F301" i="29"/>
  <c r="F327" i="29"/>
  <c r="O302" i="29"/>
  <c r="O328" i="29"/>
  <c r="M302" i="29"/>
  <c r="M328" i="29"/>
  <c r="M357" i="29" s="1"/>
  <c r="G139" i="44"/>
  <c r="L139" i="44" s="1"/>
  <c r="O139" i="44" s="1"/>
  <c r="G154" i="44"/>
  <c r="G118" i="44"/>
  <c r="H154" i="44"/>
  <c r="H118" i="44"/>
  <c r="H156" i="44"/>
  <c r="H120" i="44"/>
  <c r="J120" i="44" s="1"/>
  <c r="G217" i="44"/>
  <c r="G225" i="44" s="1"/>
  <c r="G164" i="44"/>
  <c r="G216" i="44"/>
  <c r="G224" i="44" s="1"/>
  <c r="G163" i="44"/>
  <c r="G140" i="44"/>
  <c r="L140" i="44" s="1"/>
  <c r="O140" i="44" s="1"/>
  <c r="G117" i="44"/>
  <c r="G153" i="44"/>
  <c r="H119" i="44"/>
  <c r="J119" i="44" s="1"/>
  <c r="H155" i="44"/>
  <c r="F92" i="35"/>
  <c r="F81" i="43"/>
  <c r="F105" i="43"/>
  <c r="H116" i="35"/>
  <c r="H125" i="35" s="1"/>
  <c r="H98" i="35"/>
  <c r="P116" i="35" s="1"/>
  <c r="H15" i="43"/>
  <c r="F175" i="35"/>
  <c r="F184" i="35" s="1"/>
  <c r="F104" i="43"/>
  <c r="F80" i="43"/>
  <c r="G81" i="43"/>
  <c r="G105" i="43"/>
  <c r="G98" i="35"/>
  <c r="G116" i="35"/>
  <c r="G125" i="35" s="1"/>
  <c r="J99" i="43"/>
  <c r="G96" i="35"/>
  <c r="G95" i="35"/>
  <c r="G94" i="35"/>
  <c r="G93" i="35"/>
  <c r="F94" i="35"/>
  <c r="F93" i="35"/>
  <c r="H96" i="35"/>
  <c r="F97" i="35"/>
  <c r="G97" i="35"/>
  <c r="F95" i="35"/>
  <c r="H88" i="35"/>
  <c r="H84" i="35"/>
  <c r="H85" i="35"/>
  <c r="H86" i="35"/>
  <c r="F26" i="32"/>
  <c r="H62" i="34"/>
  <c r="H9" i="34"/>
  <c r="G18" i="34"/>
  <c r="G24" i="34" s="1"/>
  <c r="F62" i="34"/>
  <c r="G62" i="34"/>
  <c r="H13" i="33"/>
  <c r="H19" i="33" s="1"/>
  <c r="H26" i="33" s="1"/>
  <c r="G19" i="33"/>
  <c r="G26" i="33" s="1"/>
  <c r="H27" i="33"/>
  <c r="H27" i="32"/>
  <c r="G66" i="32"/>
  <c r="H66" i="32"/>
  <c r="F66" i="32"/>
  <c r="E66" i="32"/>
  <c r="E68" i="31"/>
  <c r="J87" i="31"/>
  <c r="J90" i="31"/>
  <c r="J91" i="31"/>
  <c r="J92" i="31"/>
  <c r="J85" i="31"/>
  <c r="J88" i="31"/>
  <c r="J89" i="31"/>
  <c r="J86" i="31"/>
  <c r="E64" i="31"/>
  <c r="H63" i="31"/>
  <c r="G58" i="31"/>
  <c r="G60" i="31" s="1"/>
  <c r="H60" i="31" s="1"/>
  <c r="G71" i="31"/>
  <c r="F33" i="29"/>
  <c r="E19" i="30"/>
  <c r="E15" i="29"/>
  <c r="E16" i="29" s="1"/>
  <c r="E19" i="29" s="1"/>
  <c r="E12" i="31" s="1"/>
  <c r="E14" i="31" s="1"/>
  <c r="E15" i="31" s="1"/>
  <c r="E16" i="31" s="1"/>
  <c r="E18" i="31" s="1"/>
  <c r="G246" i="44" l="1"/>
  <c r="G254" i="44" s="1"/>
  <c r="N125" i="35"/>
  <c r="F211" i="35"/>
  <c r="F220" i="35" s="1"/>
  <c r="N123" i="35"/>
  <c r="F209" i="35"/>
  <c r="F218" i="35" s="1"/>
  <c r="P125" i="35"/>
  <c r="H136" i="35" s="1"/>
  <c r="H229" i="35" s="1"/>
  <c r="H238" i="35" s="1"/>
  <c r="H211" i="35"/>
  <c r="H220" i="35" s="1"/>
  <c r="H247" i="44"/>
  <c r="H255" i="44" s="1"/>
  <c r="H249" i="44"/>
  <c r="H257" i="44" s="1"/>
  <c r="J257" i="44" s="1"/>
  <c r="R50" i="40" s="1"/>
  <c r="G247" i="44"/>
  <c r="G255" i="44" s="1"/>
  <c r="F246" i="44"/>
  <c r="F254" i="44" s="1"/>
  <c r="H248" i="44"/>
  <c r="H256" i="44" s="1"/>
  <c r="J256" i="44" s="1"/>
  <c r="R49" i="40" s="1"/>
  <c r="J198" i="44"/>
  <c r="P47" i="40" s="1"/>
  <c r="AF153" i="44"/>
  <c r="AN153" i="44"/>
  <c r="X153" i="44"/>
  <c r="P153" i="44"/>
  <c r="G180" i="32"/>
  <c r="G174" i="32"/>
  <c r="G178" i="32"/>
  <c r="G177" i="32"/>
  <c r="G175" i="32"/>
  <c r="G176" i="32"/>
  <c r="G173" i="32"/>
  <c r="G179" i="32"/>
  <c r="G181" i="32"/>
  <c r="E181" i="32"/>
  <c r="E180" i="32"/>
  <c r="E173" i="32"/>
  <c r="E176" i="32"/>
  <c r="E179" i="32"/>
  <c r="E175" i="32"/>
  <c r="E177" i="32"/>
  <c r="E178" i="32"/>
  <c r="E174" i="32"/>
  <c r="F179" i="32"/>
  <c r="F181" i="32"/>
  <c r="F180" i="32"/>
  <c r="F175" i="32"/>
  <c r="F176" i="32"/>
  <c r="F177" i="32"/>
  <c r="F178" i="32"/>
  <c r="F173" i="32"/>
  <c r="F174" i="32"/>
  <c r="H174" i="32"/>
  <c r="H180" i="32"/>
  <c r="H178" i="32"/>
  <c r="H179" i="32"/>
  <c r="H177" i="32"/>
  <c r="H181" i="32"/>
  <c r="H175" i="32"/>
  <c r="H173" i="32"/>
  <c r="H176" i="32"/>
  <c r="G165" i="43"/>
  <c r="G170" i="43" s="1"/>
  <c r="F165" i="43"/>
  <c r="F170" i="43" s="1"/>
  <c r="F164" i="43"/>
  <c r="F169" i="43" s="1"/>
  <c r="F161" i="44"/>
  <c r="F230" i="44" s="1"/>
  <c r="F238" i="44" s="1"/>
  <c r="AN105" i="43"/>
  <c r="AF105" i="43"/>
  <c r="P105" i="43"/>
  <c r="X105" i="43"/>
  <c r="H135" i="43"/>
  <c r="J135" i="43" s="1"/>
  <c r="P43" i="40" s="1"/>
  <c r="G124" i="35"/>
  <c r="G192" i="35" s="1"/>
  <c r="G201" i="35" s="1"/>
  <c r="F124" i="35"/>
  <c r="F192" i="35" s="1"/>
  <c r="F201" i="35" s="1"/>
  <c r="G123" i="35"/>
  <c r="G191" i="35" s="1"/>
  <c r="G200" i="35" s="1"/>
  <c r="H123" i="35"/>
  <c r="H191" i="35" s="1"/>
  <c r="H200" i="35" s="1"/>
  <c r="J157" i="35"/>
  <c r="P41" i="40" s="1"/>
  <c r="J85" i="35"/>
  <c r="AN112" i="35"/>
  <c r="AN121" i="35" s="1"/>
  <c r="AF112" i="35"/>
  <c r="AF121" i="35" s="1"/>
  <c r="X112" i="35"/>
  <c r="X121" i="35" s="1"/>
  <c r="H153" i="35"/>
  <c r="G120" i="35"/>
  <c r="G188" i="35" s="1"/>
  <c r="G197" i="35" s="1"/>
  <c r="F103" i="35"/>
  <c r="F162" i="35" s="1"/>
  <c r="N112" i="35"/>
  <c r="G102" i="35"/>
  <c r="G161" i="35" s="1"/>
  <c r="O111" i="35"/>
  <c r="G103" i="35"/>
  <c r="G162" i="35" s="1"/>
  <c r="O112" i="35"/>
  <c r="G105" i="35"/>
  <c r="G164" i="35" s="1"/>
  <c r="O114" i="35"/>
  <c r="AF111" i="35"/>
  <c r="AF120" i="35" s="1"/>
  <c r="X111" i="35"/>
  <c r="X120" i="35" s="1"/>
  <c r="AN111" i="35"/>
  <c r="AN120" i="35" s="1"/>
  <c r="H152" i="35"/>
  <c r="G172" i="35"/>
  <c r="G181" i="35" s="1"/>
  <c r="G122" i="35"/>
  <c r="G190" i="35" s="1"/>
  <c r="G199" i="35" s="1"/>
  <c r="G107" i="35"/>
  <c r="G166" i="35" s="1"/>
  <c r="O116" i="35"/>
  <c r="F121" i="35"/>
  <c r="F189" i="35" s="1"/>
  <c r="F198" i="35" s="1"/>
  <c r="H153" i="44"/>
  <c r="H161" i="44" s="1"/>
  <c r="H230" i="44" s="1"/>
  <c r="H238" i="44" s="1"/>
  <c r="G106" i="35"/>
  <c r="G165" i="35" s="1"/>
  <c r="O115" i="35"/>
  <c r="H117" i="44"/>
  <c r="J117" i="44" s="1"/>
  <c r="F172" i="35"/>
  <c r="F181" i="35" s="1"/>
  <c r="F122" i="35"/>
  <c r="F190" i="35" s="1"/>
  <c r="F199" i="35" s="1"/>
  <c r="AF115" i="35"/>
  <c r="AF124" i="35" s="1"/>
  <c r="X115" i="35"/>
  <c r="X124" i="35" s="1"/>
  <c r="AN115" i="35"/>
  <c r="AN124" i="35" s="1"/>
  <c r="H156" i="35"/>
  <c r="F101" i="35"/>
  <c r="F160" i="35" s="1"/>
  <c r="N110" i="35"/>
  <c r="J19" i="44"/>
  <c r="F170" i="35"/>
  <c r="F179" i="35" s="1"/>
  <c r="F120" i="35"/>
  <c r="F188" i="35" s="1"/>
  <c r="F197" i="35" s="1"/>
  <c r="J86" i="35"/>
  <c r="X113" i="35"/>
  <c r="X122" i="35" s="1"/>
  <c r="AN113" i="35"/>
  <c r="AN122" i="35" s="1"/>
  <c r="AF113" i="35"/>
  <c r="AF122" i="35" s="1"/>
  <c r="H154" i="35"/>
  <c r="G121" i="35"/>
  <c r="G189" i="35" s="1"/>
  <c r="G198" i="35" s="1"/>
  <c r="F106" i="35"/>
  <c r="F165" i="35" s="1"/>
  <c r="N115" i="35"/>
  <c r="H105" i="35"/>
  <c r="H164" i="35" s="1"/>
  <c r="P114" i="35"/>
  <c r="F169" i="35"/>
  <c r="F178" i="35" s="1"/>
  <c r="F119" i="35"/>
  <c r="F187" i="35" s="1"/>
  <c r="F196" i="35" s="1"/>
  <c r="G104" i="35"/>
  <c r="G163" i="35" s="1"/>
  <c r="O113" i="35"/>
  <c r="F104" i="35"/>
  <c r="F163" i="35" s="1"/>
  <c r="N113" i="35"/>
  <c r="F102" i="35"/>
  <c r="F161" i="35" s="1"/>
  <c r="N111" i="35"/>
  <c r="H107" i="35"/>
  <c r="H166" i="35" s="1"/>
  <c r="F174" i="35"/>
  <c r="F183" i="35" s="1"/>
  <c r="F171" i="35"/>
  <c r="F180" i="35" s="1"/>
  <c r="G174" i="35"/>
  <c r="G183" i="35" s="1"/>
  <c r="G173" i="35"/>
  <c r="G182" i="35" s="1"/>
  <c r="F172" i="31"/>
  <c r="F176" i="31"/>
  <c r="F173" i="31"/>
  <c r="F177" i="31"/>
  <c r="F174" i="31"/>
  <c r="F178" i="31"/>
  <c r="F171" i="31"/>
  <c r="F175" i="31"/>
  <c r="F179" i="31"/>
  <c r="E66" i="31"/>
  <c r="F66" i="31" s="1"/>
  <c r="E172" i="31"/>
  <c r="E173" i="31"/>
  <c r="E174" i="31"/>
  <c r="E175" i="31"/>
  <c r="E176" i="31"/>
  <c r="E177" i="31"/>
  <c r="E178" i="31"/>
  <c r="E179" i="31"/>
  <c r="E20" i="31"/>
  <c r="E29" i="31" s="1"/>
  <c r="U128" i="31" s="1"/>
  <c r="J96" i="35"/>
  <c r="K39" i="40" s="1"/>
  <c r="G171" i="35"/>
  <c r="G180" i="35" s="1"/>
  <c r="J155" i="35"/>
  <c r="P39" i="40" s="1"/>
  <c r="G170" i="35"/>
  <c r="G179" i="35" s="1"/>
  <c r="H173" i="35"/>
  <c r="H182" i="35" s="1"/>
  <c r="H111" i="35"/>
  <c r="H115" i="35"/>
  <c r="J84" i="35"/>
  <c r="J88" i="35"/>
  <c r="H113" i="35"/>
  <c r="H112" i="35"/>
  <c r="J98" i="35"/>
  <c r="K41" i="40" s="1"/>
  <c r="J15" i="43"/>
  <c r="H192" i="32"/>
  <c r="H228" i="32"/>
  <c r="H276" i="32"/>
  <c r="J118" i="44"/>
  <c r="F233" i="44"/>
  <c r="F241" i="44" s="1"/>
  <c r="F231" i="44"/>
  <c r="F239" i="44" s="1"/>
  <c r="G232" i="44"/>
  <c r="G240" i="44" s="1"/>
  <c r="F232" i="44"/>
  <c r="F240" i="44" s="1"/>
  <c r="G233" i="44"/>
  <c r="G241" i="44" s="1"/>
  <c r="F193" i="35"/>
  <c r="F202" i="35" s="1"/>
  <c r="E55" i="29"/>
  <c r="E35" i="29"/>
  <c r="N303" i="29"/>
  <c r="N329" i="29"/>
  <c r="N358" i="29" s="1"/>
  <c r="F302" i="29"/>
  <c r="F328" i="29"/>
  <c r="F357" i="29" s="1"/>
  <c r="L302" i="29"/>
  <c r="L328" i="29"/>
  <c r="F356" i="29"/>
  <c r="L356" i="29"/>
  <c r="G356" i="29"/>
  <c r="O303" i="29"/>
  <c r="O329" i="29"/>
  <c r="E302" i="29"/>
  <c r="E328" i="29"/>
  <c r="E357" i="29" s="1"/>
  <c r="G302" i="29"/>
  <c r="G328" i="29"/>
  <c r="O357" i="29"/>
  <c r="M303" i="29"/>
  <c r="M329" i="29"/>
  <c r="M358" i="29" s="1"/>
  <c r="N357" i="29"/>
  <c r="H302" i="29"/>
  <c r="H328" i="29"/>
  <c r="E48" i="29"/>
  <c r="H138" i="44"/>
  <c r="M138" i="44" s="1"/>
  <c r="P138" i="44" s="1"/>
  <c r="G161" i="44"/>
  <c r="G230" i="44" s="1"/>
  <c r="G238" i="44" s="1"/>
  <c r="G214" i="44"/>
  <c r="G222" i="44" s="1"/>
  <c r="H215" i="44"/>
  <c r="H223" i="44" s="1"/>
  <c r="H162" i="44"/>
  <c r="H140" i="44"/>
  <c r="M140" i="44" s="1"/>
  <c r="P140" i="44" s="1"/>
  <c r="J50" i="40" s="1"/>
  <c r="G137" i="44"/>
  <c r="L137" i="44" s="1"/>
  <c r="O137" i="44" s="1"/>
  <c r="G138" i="44"/>
  <c r="L138" i="44" s="1"/>
  <c r="O138" i="44" s="1"/>
  <c r="H217" i="44"/>
  <c r="H225" i="44" s="1"/>
  <c r="J225" i="44" s="1"/>
  <c r="Q50" i="40" s="1"/>
  <c r="H164" i="44"/>
  <c r="H139" i="44"/>
  <c r="M139" i="44" s="1"/>
  <c r="P139" i="44" s="1"/>
  <c r="J49" i="40" s="1"/>
  <c r="G162" i="44"/>
  <c r="G215" i="44"/>
  <c r="G223" i="44" s="1"/>
  <c r="H216" i="44"/>
  <c r="H224" i="44" s="1"/>
  <c r="J224" i="44" s="1"/>
  <c r="Q49" i="40" s="1"/>
  <c r="H163" i="44"/>
  <c r="F144" i="43"/>
  <c r="F149" i="43" s="1"/>
  <c r="F109" i="43"/>
  <c r="F154" i="43" s="1"/>
  <c r="F159" i="43" s="1"/>
  <c r="G175" i="35"/>
  <c r="G184" i="35" s="1"/>
  <c r="G145" i="43"/>
  <c r="G150" i="43" s="1"/>
  <c r="G110" i="43"/>
  <c r="G155" i="43" s="1"/>
  <c r="G160" i="43" s="1"/>
  <c r="G95" i="43"/>
  <c r="H175" i="35"/>
  <c r="H184" i="35" s="1"/>
  <c r="F145" i="43"/>
  <c r="F150" i="43" s="1"/>
  <c r="F110" i="43"/>
  <c r="F155" i="43" s="1"/>
  <c r="F160" i="43" s="1"/>
  <c r="F94" i="43"/>
  <c r="F95" i="43"/>
  <c r="H81" i="43"/>
  <c r="J81" i="43" s="1"/>
  <c r="H105" i="43"/>
  <c r="H97" i="35"/>
  <c r="H95" i="35"/>
  <c r="H94" i="35"/>
  <c r="H93" i="35"/>
  <c r="H18" i="34"/>
  <c r="H24" i="34" s="1"/>
  <c r="G33" i="29"/>
  <c r="F9" i="31"/>
  <c r="G64" i="31"/>
  <c r="H64" i="31"/>
  <c r="H71" i="31"/>
  <c r="E167" i="29"/>
  <c r="G22" i="29"/>
  <c r="H17" i="29"/>
  <c r="H22" i="29" s="1"/>
  <c r="J48" i="40" l="1"/>
  <c r="J166" i="35"/>
  <c r="M41" i="40" s="1"/>
  <c r="J184" i="35"/>
  <c r="Q41" i="40" s="1"/>
  <c r="J182" i="35"/>
  <c r="Q39" i="40" s="1"/>
  <c r="J164" i="35"/>
  <c r="M39" i="40" s="1"/>
  <c r="J200" i="35"/>
  <c r="N39" i="40" s="1"/>
  <c r="J255" i="44"/>
  <c r="R48" i="40" s="1"/>
  <c r="J223" i="44"/>
  <c r="Q48" i="40" s="1"/>
  <c r="J238" i="44"/>
  <c r="N47" i="40" s="1"/>
  <c r="F134" i="35"/>
  <c r="F227" i="35" s="1"/>
  <c r="F236" i="35" s="1"/>
  <c r="J156" i="35"/>
  <c r="P40" i="40" s="1"/>
  <c r="J153" i="35"/>
  <c r="P37" i="40" s="1"/>
  <c r="F136" i="35"/>
  <c r="F229" i="35" s="1"/>
  <c r="F238" i="35" s="1"/>
  <c r="J152" i="35"/>
  <c r="P36" i="40" s="1"/>
  <c r="J154" i="35"/>
  <c r="P38" i="40" s="1"/>
  <c r="E182" i="32"/>
  <c r="O124" i="35"/>
  <c r="G210" i="35"/>
  <c r="G219" i="35" s="1"/>
  <c r="P123" i="35"/>
  <c r="H209" i="35"/>
  <c r="H218" i="35" s="1"/>
  <c r="O121" i="35"/>
  <c r="G207" i="35"/>
  <c r="G216" i="35" s="1"/>
  <c r="N119" i="35"/>
  <c r="F205" i="35"/>
  <c r="F214" i="35" s="1"/>
  <c r="O123" i="35"/>
  <c r="G209" i="35"/>
  <c r="G218" i="35" s="1"/>
  <c r="O122" i="35"/>
  <c r="G208" i="35"/>
  <c r="G217" i="35" s="1"/>
  <c r="J86" i="50"/>
  <c r="J51" i="50"/>
  <c r="J130" i="45"/>
  <c r="J51" i="49"/>
  <c r="J86" i="49"/>
  <c r="N124" i="35"/>
  <c r="F210" i="35"/>
  <c r="F219" i="35" s="1"/>
  <c r="N120" i="35"/>
  <c r="F206" i="35"/>
  <c r="F215" i="35" s="1"/>
  <c r="N121" i="35"/>
  <c r="F207" i="35"/>
  <c r="F216" i="35" s="1"/>
  <c r="O125" i="35"/>
  <c r="G211" i="35"/>
  <c r="G220" i="35" s="1"/>
  <c r="J220" i="35" s="1"/>
  <c r="R41" i="40" s="1"/>
  <c r="O120" i="35"/>
  <c r="G206" i="35"/>
  <c r="G215" i="35" s="1"/>
  <c r="N122" i="35"/>
  <c r="F208" i="35"/>
  <c r="F217" i="35" s="1"/>
  <c r="H246" i="44"/>
  <c r="H254" i="44" s="1"/>
  <c r="J254" i="44" s="1"/>
  <c r="R47" i="40" s="1"/>
  <c r="H182" i="32"/>
  <c r="F182" i="32"/>
  <c r="G182" i="32"/>
  <c r="H165" i="43"/>
  <c r="H170" i="43" s="1"/>
  <c r="J170" i="43" s="1"/>
  <c r="R43" i="40" s="1"/>
  <c r="K95" i="43"/>
  <c r="K94" i="43"/>
  <c r="L95" i="43"/>
  <c r="O95" i="43" s="1"/>
  <c r="H214" i="44"/>
  <c r="H222" i="44" s="1"/>
  <c r="J222" i="44" s="1"/>
  <c r="Q47" i="40" s="1"/>
  <c r="H124" i="35"/>
  <c r="H192" i="35" s="1"/>
  <c r="H122" i="35"/>
  <c r="H190" i="35" s="1"/>
  <c r="H199" i="35" s="1"/>
  <c r="J199" i="35" s="1"/>
  <c r="N38" i="40" s="1"/>
  <c r="H137" i="44"/>
  <c r="M137" i="44" s="1"/>
  <c r="P137" i="44" s="1"/>
  <c r="J47" i="40" s="1"/>
  <c r="H104" i="35"/>
  <c r="H163" i="35" s="1"/>
  <c r="J163" i="35" s="1"/>
  <c r="M38" i="40" s="1"/>
  <c r="P113" i="35"/>
  <c r="H106" i="35"/>
  <c r="H165" i="35" s="1"/>
  <c r="J165" i="35" s="1"/>
  <c r="M40" i="40" s="1"/>
  <c r="P115" i="35"/>
  <c r="H121" i="35"/>
  <c r="H189" i="35" s="1"/>
  <c r="H198" i="35" s="1"/>
  <c r="J198" i="35" s="1"/>
  <c r="N37" i="40" s="1"/>
  <c r="H103" i="35"/>
  <c r="H162" i="35" s="1"/>
  <c r="J162" i="35" s="1"/>
  <c r="M37" i="40" s="1"/>
  <c r="P112" i="35"/>
  <c r="H102" i="35"/>
  <c r="H161" i="35" s="1"/>
  <c r="J161" i="35" s="1"/>
  <c r="M36" i="40" s="1"/>
  <c r="P111" i="35"/>
  <c r="H170" i="35"/>
  <c r="H179" i="35" s="1"/>
  <c r="J179" i="35" s="1"/>
  <c r="Q36" i="40" s="1"/>
  <c r="H120" i="35"/>
  <c r="H188" i="35" s="1"/>
  <c r="H197" i="35" s="1"/>
  <c r="J197" i="35" s="1"/>
  <c r="N36" i="40" s="1"/>
  <c r="J95" i="35"/>
  <c r="K38" i="40" s="1"/>
  <c r="J94" i="35"/>
  <c r="K37" i="40" s="1"/>
  <c r="J97" i="35"/>
  <c r="K40" i="40" s="1"/>
  <c r="J93" i="35"/>
  <c r="K36" i="40" s="1"/>
  <c r="K118" i="44"/>
  <c r="K48" i="40" s="1"/>
  <c r="K20" i="44"/>
  <c r="I48" i="40" s="1"/>
  <c r="J156" i="33"/>
  <c r="J51" i="48"/>
  <c r="J147" i="30"/>
  <c r="J86" i="47"/>
  <c r="J154" i="31"/>
  <c r="J86" i="48"/>
  <c r="J152" i="34"/>
  <c r="J156" i="32"/>
  <c r="K21" i="44"/>
  <c r="I49" i="40" s="1"/>
  <c r="E28" i="31"/>
  <c r="E127" i="31" s="1"/>
  <c r="E27" i="31"/>
  <c r="U126" i="31" s="1"/>
  <c r="E189" i="31"/>
  <c r="E25" i="31"/>
  <c r="E185" i="31" s="1"/>
  <c r="E128" i="31"/>
  <c r="E213" i="31" s="1"/>
  <c r="M128" i="31"/>
  <c r="E30" i="31"/>
  <c r="E190" i="31" s="1"/>
  <c r="E24" i="31"/>
  <c r="E184" i="31" s="1"/>
  <c r="E26" i="31"/>
  <c r="E186" i="31" s="1"/>
  <c r="H171" i="31"/>
  <c r="H175" i="31"/>
  <c r="H179" i="31"/>
  <c r="H176" i="31"/>
  <c r="H172" i="31"/>
  <c r="H173" i="31"/>
  <c r="H177" i="31"/>
  <c r="H174" i="31"/>
  <c r="H178" i="31"/>
  <c r="E23" i="31"/>
  <c r="E183" i="31" s="1"/>
  <c r="G66" i="31"/>
  <c r="H66" i="31" s="1"/>
  <c r="G172" i="31"/>
  <c r="G176" i="31"/>
  <c r="G171" i="31"/>
  <c r="G173" i="31"/>
  <c r="G177" i="31"/>
  <c r="G174" i="31"/>
  <c r="G178" i="31"/>
  <c r="G175" i="31"/>
  <c r="G179" i="31"/>
  <c r="E69" i="31"/>
  <c r="K119" i="44"/>
  <c r="K49" i="40" s="1"/>
  <c r="K120" i="44"/>
  <c r="K50" i="40" s="1"/>
  <c r="K22" i="44"/>
  <c r="I50" i="40" s="1"/>
  <c r="H172" i="35"/>
  <c r="H181" i="35" s="1"/>
  <c r="J181" i="35" s="1"/>
  <c r="Q38" i="40" s="1"/>
  <c r="H171" i="35"/>
  <c r="H180" i="35" s="1"/>
  <c r="J180" i="35" s="1"/>
  <c r="Q37" i="40" s="1"/>
  <c r="H174" i="35"/>
  <c r="H183" i="35" s="1"/>
  <c r="J183" i="35" s="1"/>
  <c r="Q40" i="40" s="1"/>
  <c r="J69" i="45"/>
  <c r="J51" i="47"/>
  <c r="H232" i="44"/>
  <c r="H240" i="44" s="1"/>
  <c r="J240" i="44" s="1"/>
  <c r="N49" i="40" s="1"/>
  <c r="H231" i="44"/>
  <c r="H239" i="44" s="1"/>
  <c r="G231" i="44"/>
  <c r="G239" i="44" s="1"/>
  <c r="H233" i="44"/>
  <c r="G193" i="35"/>
  <c r="G202" i="35" s="1"/>
  <c r="H193" i="35"/>
  <c r="H202" i="35" s="1"/>
  <c r="H357" i="29"/>
  <c r="L303" i="29"/>
  <c r="L329" i="29"/>
  <c r="F303" i="29"/>
  <c r="F329" i="29"/>
  <c r="H303" i="29"/>
  <c r="H329" i="29"/>
  <c r="N304" i="29"/>
  <c r="N330" i="29"/>
  <c r="G303" i="29"/>
  <c r="G329" i="29"/>
  <c r="G357" i="29"/>
  <c r="O304" i="29"/>
  <c r="O330" i="29"/>
  <c r="O359" i="29" s="1"/>
  <c r="M304" i="29"/>
  <c r="M330" i="29"/>
  <c r="E303" i="29"/>
  <c r="E329" i="29"/>
  <c r="O358" i="29"/>
  <c r="L357" i="29"/>
  <c r="F33" i="45"/>
  <c r="F34" i="45" s="1"/>
  <c r="F57" i="43"/>
  <c r="F38" i="43"/>
  <c r="H95" i="43"/>
  <c r="H145" i="43"/>
  <c r="H110" i="43"/>
  <c r="H155" i="43" s="1"/>
  <c r="J95" i="32"/>
  <c r="J95" i="33"/>
  <c r="J91" i="34"/>
  <c r="F70" i="32"/>
  <c r="F71" i="32" s="1"/>
  <c r="F71" i="33"/>
  <c r="E36" i="29"/>
  <c r="E25" i="34"/>
  <c r="H33" i="29"/>
  <c r="H9" i="31" s="1"/>
  <c r="G9" i="31"/>
  <c r="J93" i="31"/>
  <c r="J86" i="30"/>
  <c r="E61" i="30"/>
  <c r="E62" i="30" s="1"/>
  <c r="J81" i="30"/>
  <c r="J82" i="30"/>
  <c r="J85" i="30"/>
  <c r="J83" i="30"/>
  <c r="J79" i="30"/>
  <c r="J80" i="30"/>
  <c r="J84" i="30"/>
  <c r="J239" i="44" l="1"/>
  <c r="N48" i="40" s="1"/>
  <c r="J218" i="35"/>
  <c r="R39" i="40" s="1"/>
  <c r="J202" i="35"/>
  <c r="N41" i="40" s="1"/>
  <c r="G133" i="35"/>
  <c r="G226" i="35" s="1"/>
  <c r="G235" i="35" s="1"/>
  <c r="F130" i="35"/>
  <c r="F223" i="35" s="1"/>
  <c r="F232" i="35" s="1"/>
  <c r="F131" i="35"/>
  <c r="F224" i="35" s="1"/>
  <c r="F233" i="35" s="1"/>
  <c r="F135" i="35"/>
  <c r="F228" i="35" s="1"/>
  <c r="F237" i="35" s="1"/>
  <c r="H134" i="35"/>
  <c r="H227" i="35" s="1"/>
  <c r="H236" i="35" s="1"/>
  <c r="F133" i="35"/>
  <c r="F226" i="35" s="1"/>
  <c r="F235" i="35" s="1"/>
  <c r="G131" i="35"/>
  <c r="G224" i="35" s="1"/>
  <c r="G233" i="35" s="1"/>
  <c r="G136" i="35"/>
  <c r="G229" i="35" s="1"/>
  <c r="G238" i="35" s="1"/>
  <c r="J238" i="35" s="1"/>
  <c r="O41" i="40" s="1"/>
  <c r="G134" i="35"/>
  <c r="G227" i="35" s="1"/>
  <c r="G236" i="35" s="1"/>
  <c r="F132" i="35"/>
  <c r="F225" i="35" s="1"/>
  <c r="F234" i="35" s="1"/>
  <c r="G132" i="35"/>
  <c r="G225" i="35" s="1"/>
  <c r="G234" i="35" s="1"/>
  <c r="G135" i="35"/>
  <c r="G228" i="35" s="1"/>
  <c r="G237" i="35" s="1"/>
  <c r="P121" i="35"/>
  <c r="H207" i="35"/>
  <c r="H216" i="35" s="1"/>
  <c r="J216" i="35" s="1"/>
  <c r="R37" i="40" s="1"/>
  <c r="P124" i="35"/>
  <c r="H210" i="35"/>
  <c r="H219" i="35" s="1"/>
  <c r="J219" i="35" s="1"/>
  <c r="R40" i="40" s="1"/>
  <c r="P122" i="35"/>
  <c r="H208" i="35"/>
  <c r="H217" i="35" s="1"/>
  <c r="J217" i="35" s="1"/>
  <c r="R38" i="40" s="1"/>
  <c r="H201" i="35"/>
  <c r="J201" i="35" s="1"/>
  <c r="N40" i="40" s="1"/>
  <c r="H241" i="44"/>
  <c r="J241" i="44" s="1"/>
  <c r="N50" i="40" s="1"/>
  <c r="P120" i="35"/>
  <c r="H206" i="35"/>
  <c r="H215" i="35" s="1"/>
  <c r="J215" i="35" s="1"/>
  <c r="R36" i="40" s="1"/>
  <c r="K19" i="44"/>
  <c r="I47" i="40" s="1"/>
  <c r="J182" i="32"/>
  <c r="L23" i="40" s="1"/>
  <c r="H160" i="43"/>
  <c r="J160" i="43" s="1"/>
  <c r="N43" i="40" s="1"/>
  <c r="M95" i="43"/>
  <c r="P95" i="43" s="1"/>
  <c r="J43" i="40" s="1"/>
  <c r="H150" i="43"/>
  <c r="J150" i="43" s="1"/>
  <c r="Q43" i="40" s="1"/>
  <c r="K117" i="44"/>
  <c r="K47" i="40" s="1"/>
  <c r="E139" i="31"/>
  <c r="E249" i="31" s="1"/>
  <c r="M124" i="31"/>
  <c r="M129" i="31"/>
  <c r="M123" i="31"/>
  <c r="E187" i="31"/>
  <c r="E188" i="31"/>
  <c r="E126" i="31"/>
  <c r="E211" i="31" s="1"/>
  <c r="M127" i="31"/>
  <c r="M126" i="31"/>
  <c r="U127" i="31"/>
  <c r="E125" i="31"/>
  <c r="E210" i="31" s="1"/>
  <c r="M125" i="31"/>
  <c r="E225" i="31"/>
  <c r="M122" i="31"/>
  <c r="U124" i="31"/>
  <c r="U129" i="31"/>
  <c r="E124" i="31"/>
  <c r="E135" i="31" s="1"/>
  <c r="E245" i="31" s="1"/>
  <c r="U125" i="31"/>
  <c r="E34" i="31"/>
  <c r="AK123" i="31" s="1"/>
  <c r="E123" i="31"/>
  <c r="E208" i="31" s="1"/>
  <c r="E129" i="31"/>
  <c r="E214" i="31" s="1"/>
  <c r="E74" i="31"/>
  <c r="U122" i="31"/>
  <c r="E122" i="31"/>
  <c r="E219" i="31" s="1"/>
  <c r="U123" i="31"/>
  <c r="E224" i="31"/>
  <c r="E212" i="31"/>
  <c r="E138" i="31"/>
  <c r="E248" i="31" s="1"/>
  <c r="G304" i="29"/>
  <c r="G330" i="29"/>
  <c r="G359" i="29" s="1"/>
  <c r="N305" i="29"/>
  <c r="N331" i="29"/>
  <c r="N360" i="29" s="1"/>
  <c r="E304" i="29"/>
  <c r="E330" i="29"/>
  <c r="H304" i="29"/>
  <c r="H330" i="29"/>
  <c r="H359" i="29" s="1"/>
  <c r="G358" i="29"/>
  <c r="N359" i="29"/>
  <c r="F304" i="29"/>
  <c r="F330" i="29"/>
  <c r="M359" i="29"/>
  <c r="E358" i="29"/>
  <c r="F358" i="29"/>
  <c r="M305" i="29"/>
  <c r="M331" i="29"/>
  <c r="M360" i="29" s="1"/>
  <c r="L358" i="29"/>
  <c r="L304" i="29"/>
  <c r="L330" i="29"/>
  <c r="L359" i="29" s="1"/>
  <c r="O305" i="29"/>
  <c r="O331" i="29"/>
  <c r="O360" i="29" s="1"/>
  <c r="H358" i="29"/>
  <c r="G33" i="45"/>
  <c r="G34" i="45" s="1"/>
  <c r="F126" i="44"/>
  <c r="F207" i="44" s="1"/>
  <c r="F36" i="43"/>
  <c r="F37" i="43" s="1"/>
  <c r="F85" i="43"/>
  <c r="F139" i="43" s="1"/>
  <c r="F125" i="44"/>
  <c r="F206" i="44" s="1"/>
  <c r="G38" i="43"/>
  <c r="G36" i="43" s="1"/>
  <c r="G37" i="43" s="1"/>
  <c r="G57" i="43"/>
  <c r="F128" i="44"/>
  <c r="F209" i="44" s="1"/>
  <c r="F55" i="43"/>
  <c r="F56" i="43" s="1"/>
  <c r="F74" i="43"/>
  <c r="F75" i="43" s="1"/>
  <c r="F86" i="43"/>
  <c r="F140" i="43" s="1"/>
  <c r="F127" i="44"/>
  <c r="F208" i="44" s="1"/>
  <c r="F36" i="44"/>
  <c r="F37" i="44" s="1"/>
  <c r="F94" i="44"/>
  <c r="F95" i="44" s="1"/>
  <c r="F49" i="44"/>
  <c r="F50" i="44" s="1"/>
  <c r="F109" i="44"/>
  <c r="F79" i="44"/>
  <c r="F80" i="44" s="1"/>
  <c r="F64" i="44"/>
  <c r="F65" i="44" s="1"/>
  <c r="E28" i="34"/>
  <c r="E169" i="34" s="1"/>
  <c r="E34" i="34"/>
  <c r="E30" i="34"/>
  <c r="E29" i="34"/>
  <c r="E35" i="34"/>
  <c r="E31" i="34"/>
  <c r="E33" i="34"/>
  <c r="E32" i="34"/>
  <c r="F66" i="34"/>
  <c r="F67" i="34" s="1"/>
  <c r="E28" i="32"/>
  <c r="E36" i="32" s="1"/>
  <c r="G70" i="32"/>
  <c r="G71" i="32" s="1"/>
  <c r="F68" i="31"/>
  <c r="F69" i="31" s="1"/>
  <c r="K81" i="43" l="1"/>
  <c r="K43" i="40" s="1"/>
  <c r="J236" i="35"/>
  <c r="O39" i="40" s="1"/>
  <c r="H132" i="35"/>
  <c r="H225" i="35" s="1"/>
  <c r="H234" i="35" s="1"/>
  <c r="J234" i="35" s="1"/>
  <c r="O37" i="40" s="1"/>
  <c r="H131" i="35"/>
  <c r="H224" i="35" s="1"/>
  <c r="H233" i="35" s="1"/>
  <c r="J233" i="35" s="1"/>
  <c r="O36" i="40" s="1"/>
  <c r="H135" i="35"/>
  <c r="H228" i="35" s="1"/>
  <c r="H237" i="35" s="1"/>
  <c r="J237" i="35" s="1"/>
  <c r="O40" i="40" s="1"/>
  <c r="H133" i="35"/>
  <c r="H226" i="35" s="1"/>
  <c r="H235" i="35" s="1"/>
  <c r="J235" i="35" s="1"/>
  <c r="O38" i="40" s="1"/>
  <c r="E237" i="31"/>
  <c r="K15" i="43"/>
  <c r="I43" i="40" s="1"/>
  <c r="E134" i="31"/>
  <c r="E244" i="31" s="1"/>
  <c r="E133" i="31"/>
  <c r="E243" i="31" s="1"/>
  <c r="E255" i="31"/>
  <c r="E207" i="31"/>
  <c r="E137" i="31"/>
  <c r="E247" i="31" s="1"/>
  <c r="AC123" i="31"/>
  <c r="E256" i="31" s="1"/>
  <c r="E223" i="31"/>
  <c r="E222" i="31"/>
  <c r="E136" i="31"/>
  <c r="E246" i="31" s="1"/>
  <c r="E220" i="31"/>
  <c r="E267" i="31"/>
  <c r="E226" i="31"/>
  <c r="E140" i="31"/>
  <c r="E250" i="31" s="1"/>
  <c r="E209" i="31"/>
  <c r="E221" i="31"/>
  <c r="E173" i="34"/>
  <c r="E174" i="34"/>
  <c r="E172" i="34"/>
  <c r="E170" i="34"/>
  <c r="E171" i="34"/>
  <c r="E175" i="34"/>
  <c r="E176" i="34"/>
  <c r="E236" i="31"/>
  <c r="E190" i="32"/>
  <c r="E233" i="31"/>
  <c r="F110" i="44"/>
  <c r="AK125" i="34"/>
  <c r="AC125" i="34"/>
  <c r="U125" i="34"/>
  <c r="M125" i="34"/>
  <c r="AK123" i="34"/>
  <c r="U123" i="34"/>
  <c r="M123" i="34"/>
  <c r="AC123" i="34"/>
  <c r="E121" i="34"/>
  <c r="U121" i="34"/>
  <c r="AC121" i="34"/>
  <c r="M121" i="34"/>
  <c r="AK121" i="34"/>
  <c r="E122" i="34"/>
  <c r="U122" i="34"/>
  <c r="AK122" i="34"/>
  <c r="AC122" i="34"/>
  <c r="M122" i="34"/>
  <c r="AC126" i="34"/>
  <c r="M126" i="34"/>
  <c r="U126" i="34"/>
  <c r="AK126" i="34"/>
  <c r="AC127" i="34"/>
  <c r="M127" i="34"/>
  <c r="AK127" i="34"/>
  <c r="U127" i="34"/>
  <c r="E72" i="34"/>
  <c r="E83" i="34" s="1"/>
  <c r="E181" i="34" s="1"/>
  <c r="AK120" i="34"/>
  <c r="U120" i="34"/>
  <c r="M120" i="34"/>
  <c r="AC120" i="34"/>
  <c r="E129" i="32"/>
  <c r="AC129" i="32"/>
  <c r="U129" i="32"/>
  <c r="M129" i="32"/>
  <c r="AK129" i="32"/>
  <c r="M124" i="34"/>
  <c r="AC124" i="34"/>
  <c r="U124" i="34"/>
  <c r="AK124" i="34"/>
  <c r="M306" i="29"/>
  <c r="M332" i="29"/>
  <c r="M361" i="29" s="1"/>
  <c r="E305" i="29"/>
  <c r="E331" i="29"/>
  <c r="E360" i="29" s="1"/>
  <c r="N306" i="29"/>
  <c r="N332" i="29"/>
  <c r="N361" i="29" s="1"/>
  <c r="F359" i="29"/>
  <c r="F305" i="29"/>
  <c r="F331" i="29"/>
  <c r="F360" i="29" s="1"/>
  <c r="E359" i="29"/>
  <c r="H305" i="29"/>
  <c r="H331" i="29"/>
  <c r="H360" i="29" s="1"/>
  <c r="O306" i="29"/>
  <c r="O332" i="29"/>
  <c r="O361" i="29" s="1"/>
  <c r="G305" i="29"/>
  <c r="G331" i="29"/>
  <c r="G360" i="29" s="1"/>
  <c r="L305" i="29"/>
  <c r="L331" i="29"/>
  <c r="L360" i="29" s="1"/>
  <c r="H33" i="45"/>
  <c r="H34" i="45" s="1"/>
  <c r="G126" i="44"/>
  <c r="G207" i="44" s="1"/>
  <c r="F145" i="44"/>
  <c r="K145" i="44" s="1"/>
  <c r="F100" i="43"/>
  <c r="K100" i="43" s="1"/>
  <c r="F99" i="43"/>
  <c r="F147" i="44"/>
  <c r="K147" i="44" s="1"/>
  <c r="G128" i="44"/>
  <c r="G209" i="44" s="1"/>
  <c r="G127" i="44"/>
  <c r="G208" i="44" s="1"/>
  <c r="G79" i="44"/>
  <c r="G80" i="44" s="1"/>
  <c r="G49" i="44"/>
  <c r="G50" i="44" s="1"/>
  <c r="G94" i="44"/>
  <c r="G95" i="44" s="1"/>
  <c r="G64" i="44"/>
  <c r="G65" i="44" s="1"/>
  <c r="G109" i="44"/>
  <c r="G36" i="44"/>
  <c r="G37" i="44" s="1"/>
  <c r="G55" i="43"/>
  <c r="G56" i="43" s="1"/>
  <c r="G74" i="43"/>
  <c r="G75" i="43" s="1"/>
  <c r="G86" i="43"/>
  <c r="G140" i="43" s="1"/>
  <c r="H38" i="43"/>
  <c r="H36" i="43" s="1"/>
  <c r="H37" i="43" s="1"/>
  <c r="H57" i="43"/>
  <c r="G125" i="44"/>
  <c r="G206" i="44" s="1"/>
  <c r="F146" i="44"/>
  <c r="K146" i="44" s="1"/>
  <c r="E39" i="34"/>
  <c r="E120" i="34"/>
  <c r="E205" i="34" s="1"/>
  <c r="E124" i="34"/>
  <c r="E125" i="34"/>
  <c r="E123" i="34"/>
  <c r="E127" i="34"/>
  <c r="E126" i="34"/>
  <c r="G70" i="33"/>
  <c r="G71" i="33" s="1"/>
  <c r="G66" i="34"/>
  <c r="G67" i="34" s="1"/>
  <c r="E35" i="32"/>
  <c r="E31" i="32"/>
  <c r="E32" i="32"/>
  <c r="E37" i="32"/>
  <c r="E34" i="32"/>
  <c r="E33" i="32"/>
  <c r="H70" i="32"/>
  <c r="H71" i="32" s="1"/>
  <c r="H70" i="33"/>
  <c r="H71" i="33" s="1"/>
  <c r="G68" i="31"/>
  <c r="G69" i="31" s="1"/>
  <c r="F55" i="30"/>
  <c r="F59" i="30"/>
  <c r="G59" i="30" s="1"/>
  <c r="H59" i="30" s="1"/>
  <c r="H53" i="30"/>
  <c r="F53" i="30"/>
  <c r="F64" i="30"/>
  <c r="F22" i="30"/>
  <c r="F16" i="30"/>
  <c r="G16" i="30" s="1"/>
  <c r="E12" i="30"/>
  <c r="F11" i="30"/>
  <c r="G11" i="30"/>
  <c r="H11" i="30"/>
  <c r="E11" i="30"/>
  <c r="F9" i="30"/>
  <c r="F12" i="30" s="1"/>
  <c r="F45" i="29"/>
  <c r="G45" i="29"/>
  <c r="H45" i="29"/>
  <c r="H41" i="29"/>
  <c r="H42" i="29"/>
  <c r="H43" i="29"/>
  <c r="H44" i="29"/>
  <c r="H40" i="29"/>
  <c r="H38" i="29"/>
  <c r="M110" i="43" l="1"/>
  <c r="O110" i="43"/>
  <c r="N110" i="43"/>
  <c r="P110" i="43"/>
  <c r="AK110" i="43"/>
  <c r="AM110" i="43"/>
  <c r="AL110" i="43"/>
  <c r="AN110" i="43"/>
  <c r="AC110" i="43"/>
  <c r="AD110" i="43"/>
  <c r="AE110" i="43"/>
  <c r="AF110" i="43"/>
  <c r="U110" i="43"/>
  <c r="V110" i="43"/>
  <c r="W110" i="43"/>
  <c r="X110" i="43"/>
  <c r="K99" i="43"/>
  <c r="E232" i="31"/>
  <c r="E231" i="31"/>
  <c r="E235" i="31"/>
  <c r="E268" i="31"/>
  <c r="E234" i="31"/>
  <c r="E238" i="31"/>
  <c r="E255" i="34"/>
  <c r="E274" i="32"/>
  <c r="E241" i="34"/>
  <c r="E253" i="34"/>
  <c r="E140" i="32"/>
  <c r="E250" i="32" s="1"/>
  <c r="E226" i="32"/>
  <c r="E214" i="32"/>
  <c r="E259" i="34"/>
  <c r="E189" i="32"/>
  <c r="E194" i="34"/>
  <c r="E206" i="34"/>
  <c r="E256" i="34"/>
  <c r="E186" i="32"/>
  <c r="E196" i="34"/>
  <c r="E208" i="34"/>
  <c r="F148" i="44"/>
  <c r="K148" i="44" s="1"/>
  <c r="E258" i="34"/>
  <c r="E185" i="32"/>
  <c r="E211" i="34"/>
  <c r="E199" i="34"/>
  <c r="E198" i="34"/>
  <c r="E210" i="34"/>
  <c r="E187" i="32"/>
  <c r="E209" i="34"/>
  <c r="E197" i="34"/>
  <c r="E195" i="34"/>
  <c r="E207" i="34"/>
  <c r="E212" i="34"/>
  <c r="E200" i="34"/>
  <c r="E188" i="32"/>
  <c r="E131" i="34"/>
  <c r="E229" i="34" s="1"/>
  <c r="E193" i="34"/>
  <c r="E257" i="34"/>
  <c r="E191" i="32"/>
  <c r="E260" i="34"/>
  <c r="E254" i="34"/>
  <c r="G110" i="44"/>
  <c r="AC133" i="31"/>
  <c r="AD133" i="31"/>
  <c r="AE133" i="31"/>
  <c r="AF133" i="31"/>
  <c r="AC134" i="31"/>
  <c r="E242" i="34"/>
  <c r="E245" i="34"/>
  <c r="E133" i="34"/>
  <c r="E231" i="34" s="1"/>
  <c r="U139" i="31"/>
  <c r="U133" i="31"/>
  <c r="U134" i="31"/>
  <c r="U140" i="31"/>
  <c r="U136" i="31"/>
  <c r="U135" i="31"/>
  <c r="U137" i="31"/>
  <c r="U138" i="31"/>
  <c r="E262" i="32"/>
  <c r="E244" i="34"/>
  <c r="E247" i="34"/>
  <c r="E125" i="32"/>
  <c r="U125" i="32"/>
  <c r="M125" i="32"/>
  <c r="AK125" i="32"/>
  <c r="AC125" i="32"/>
  <c r="E132" i="34"/>
  <c r="E230" i="34" s="1"/>
  <c r="E124" i="32"/>
  <c r="E76" i="32"/>
  <c r="AC124" i="32"/>
  <c r="AK124" i="32"/>
  <c r="M124" i="32"/>
  <c r="U124" i="32"/>
  <c r="E243" i="34"/>
  <c r="E246" i="34"/>
  <c r="E128" i="32"/>
  <c r="U128" i="32"/>
  <c r="M128" i="32"/>
  <c r="AK128" i="32"/>
  <c r="AC128" i="32"/>
  <c r="AK133" i="31"/>
  <c r="AL133" i="31"/>
  <c r="AM133" i="31"/>
  <c r="AN133" i="31"/>
  <c r="AK134" i="31"/>
  <c r="E248" i="34"/>
  <c r="E126" i="32"/>
  <c r="AC126" i="32"/>
  <c r="U126" i="32"/>
  <c r="M126" i="32"/>
  <c r="AK126" i="32"/>
  <c r="E127" i="32"/>
  <c r="M127" i="32"/>
  <c r="U127" i="32"/>
  <c r="AC127" i="32"/>
  <c r="AK127" i="32"/>
  <c r="E130" i="32"/>
  <c r="AK130" i="32"/>
  <c r="M130" i="32"/>
  <c r="U130" i="32"/>
  <c r="AC130" i="32"/>
  <c r="M140" i="31"/>
  <c r="M133" i="31"/>
  <c r="M134" i="31"/>
  <c r="M139" i="31"/>
  <c r="M136" i="31"/>
  <c r="M135" i="31"/>
  <c r="M138" i="31"/>
  <c r="M137" i="31"/>
  <c r="O307" i="29"/>
  <c r="O333" i="29"/>
  <c r="O362" i="29" s="1"/>
  <c r="H306" i="29"/>
  <c r="H332" i="29"/>
  <c r="H361" i="29" s="1"/>
  <c r="F306" i="29"/>
  <c r="F332" i="29"/>
  <c r="F361" i="29" s="1"/>
  <c r="N307" i="29"/>
  <c r="N333" i="29"/>
  <c r="N362" i="29" s="1"/>
  <c r="M307" i="29"/>
  <c r="M333" i="29"/>
  <c r="M362" i="29" s="1"/>
  <c r="L306" i="29"/>
  <c r="L332" i="29"/>
  <c r="L361" i="29" s="1"/>
  <c r="E306" i="29"/>
  <c r="E332" i="29"/>
  <c r="E361" i="29" s="1"/>
  <c r="G306" i="29"/>
  <c r="G332" i="29"/>
  <c r="G361" i="29" s="1"/>
  <c r="H126" i="44"/>
  <c r="H207" i="44" s="1"/>
  <c r="J207" i="44" s="1"/>
  <c r="M48" i="40" s="1"/>
  <c r="H127" i="44"/>
  <c r="H208" i="44" s="1"/>
  <c r="J208" i="44" s="1"/>
  <c r="M49" i="40" s="1"/>
  <c r="H128" i="44"/>
  <c r="H209" i="44" s="1"/>
  <c r="J209" i="44" s="1"/>
  <c r="M50" i="40" s="1"/>
  <c r="G147" i="44"/>
  <c r="L147" i="44" s="1"/>
  <c r="G100" i="43"/>
  <c r="L100" i="43" s="1"/>
  <c r="G145" i="44"/>
  <c r="L145" i="44" s="1"/>
  <c r="H55" i="43"/>
  <c r="H56" i="43" s="1"/>
  <c r="H74" i="43"/>
  <c r="H75" i="43" s="1"/>
  <c r="H86" i="43"/>
  <c r="H140" i="43" s="1"/>
  <c r="J140" i="43" s="1"/>
  <c r="M43" i="40" s="1"/>
  <c r="G146" i="44"/>
  <c r="L146" i="44" s="1"/>
  <c r="H64" i="44"/>
  <c r="H65" i="44" s="1"/>
  <c r="H49" i="44"/>
  <c r="H50" i="44" s="1"/>
  <c r="H109" i="44"/>
  <c r="H94" i="44"/>
  <c r="H95" i="44" s="1"/>
  <c r="H79" i="44"/>
  <c r="H80" i="44" s="1"/>
  <c r="H36" i="44"/>
  <c r="H37" i="44" s="1"/>
  <c r="H125" i="44"/>
  <c r="H206" i="44" s="1"/>
  <c r="J206" i="44" s="1"/>
  <c r="M47" i="40" s="1"/>
  <c r="E137" i="34"/>
  <c r="E235" i="34" s="1"/>
  <c r="E135" i="34"/>
  <c r="E233" i="34" s="1"/>
  <c r="E134" i="34"/>
  <c r="E232" i="34" s="1"/>
  <c r="E138" i="34"/>
  <c r="E236" i="34" s="1"/>
  <c r="E136" i="34"/>
  <c r="E234" i="34" s="1"/>
  <c r="H66" i="34"/>
  <c r="H67" i="34" s="1"/>
  <c r="H68" i="31"/>
  <c r="H69" i="31" s="1"/>
  <c r="G22" i="30"/>
  <c r="F17" i="31"/>
  <c r="G64" i="30"/>
  <c r="F61" i="30"/>
  <c r="F62" i="30" s="1"/>
  <c r="G55" i="30"/>
  <c r="H16" i="30"/>
  <c r="E15" i="30"/>
  <c r="F15" i="30"/>
  <c r="G9" i="30"/>
  <c r="F15" i="29"/>
  <c r="G35" i="29"/>
  <c r="G25" i="34" s="1"/>
  <c r="H15" i="29"/>
  <c r="H35" i="29" s="1"/>
  <c r="F32" i="29"/>
  <c r="H117" i="43" l="1"/>
  <c r="H175" i="43" s="1"/>
  <c r="H180" i="43" s="1"/>
  <c r="F117" i="43"/>
  <c r="F175" i="43" s="1"/>
  <c r="F180" i="43" s="1"/>
  <c r="G117" i="43"/>
  <c r="G175" i="43" s="1"/>
  <c r="G180" i="43" s="1"/>
  <c r="E117" i="43"/>
  <c r="E217" i="34"/>
  <c r="E271" i="32"/>
  <c r="E273" i="32"/>
  <c r="E272" i="32"/>
  <c r="G148" i="44"/>
  <c r="L148" i="44" s="1"/>
  <c r="E222" i="34"/>
  <c r="E224" i="34"/>
  <c r="E270" i="32"/>
  <c r="E220" i="34"/>
  <c r="E221" i="34"/>
  <c r="E212" i="32"/>
  <c r="E224" i="32"/>
  <c r="E139" i="32"/>
  <c r="E249" i="32" s="1"/>
  <c r="E225" i="32"/>
  <c r="E213" i="32"/>
  <c r="E135" i="32"/>
  <c r="E245" i="32" s="1"/>
  <c r="E221" i="32"/>
  <c r="E209" i="32"/>
  <c r="E223" i="34"/>
  <c r="E218" i="34"/>
  <c r="E211" i="32"/>
  <c r="E223" i="32"/>
  <c r="E222" i="32"/>
  <c r="E210" i="32"/>
  <c r="E219" i="34"/>
  <c r="E238" i="32"/>
  <c r="E275" i="32"/>
  <c r="E141" i="32"/>
  <c r="E251" i="32" s="1"/>
  <c r="E227" i="32"/>
  <c r="E215" i="32"/>
  <c r="E269" i="32"/>
  <c r="H110" i="44"/>
  <c r="E138" i="32"/>
  <c r="E248" i="32" s="1"/>
  <c r="E137" i="32"/>
  <c r="E247" i="32" s="1"/>
  <c r="E146" i="31"/>
  <c r="E259" i="32"/>
  <c r="E147" i="31"/>
  <c r="E292" i="31" s="1"/>
  <c r="E257" i="32"/>
  <c r="E260" i="32"/>
  <c r="E136" i="32"/>
  <c r="E246" i="32" s="1"/>
  <c r="E263" i="32"/>
  <c r="E258" i="32"/>
  <c r="E261" i="32"/>
  <c r="F35" i="29"/>
  <c r="F36" i="29" s="1"/>
  <c r="F28" i="32" s="1"/>
  <c r="F16" i="29"/>
  <c r="E307" i="29"/>
  <c r="E333" i="29"/>
  <c r="E362" i="29" s="1"/>
  <c r="L307" i="29"/>
  <c r="L333" i="29"/>
  <c r="L362" i="29" s="1"/>
  <c r="M308" i="29"/>
  <c r="M334" i="29"/>
  <c r="M363" i="29" s="1"/>
  <c r="N308" i="29"/>
  <c r="N334" i="29"/>
  <c r="N363" i="29" s="1"/>
  <c r="F307" i="29"/>
  <c r="F333" i="29"/>
  <c r="F362" i="29" s="1"/>
  <c r="G307" i="29"/>
  <c r="G333" i="29"/>
  <c r="G362" i="29" s="1"/>
  <c r="H307" i="29"/>
  <c r="H333" i="29"/>
  <c r="H362" i="29" s="1"/>
  <c r="O308" i="29"/>
  <c r="O334" i="29"/>
  <c r="O363" i="29" s="1"/>
  <c r="H100" i="43"/>
  <c r="M100" i="43" s="1"/>
  <c r="H145" i="44"/>
  <c r="M145" i="44" s="1"/>
  <c r="H147" i="44"/>
  <c r="M147" i="44" s="1"/>
  <c r="H146" i="44"/>
  <c r="M146" i="44" s="1"/>
  <c r="G36" i="29"/>
  <c r="G28" i="32" s="1"/>
  <c r="H36" i="29"/>
  <c r="H28" i="32" s="1"/>
  <c r="H25" i="34"/>
  <c r="G32" i="29"/>
  <c r="F8" i="31"/>
  <c r="H22" i="30"/>
  <c r="H17" i="31" s="1"/>
  <c r="G17" i="31"/>
  <c r="H64" i="30"/>
  <c r="G61" i="30"/>
  <c r="G62" i="30" s="1"/>
  <c r="H55" i="30"/>
  <c r="H20" i="29"/>
  <c r="F20" i="29"/>
  <c r="E20" i="29"/>
  <c r="E54" i="30" s="1"/>
  <c r="E24" i="29"/>
  <c r="E126" i="29" s="1"/>
  <c r="E148" i="29" s="1"/>
  <c r="G20" i="29"/>
  <c r="F17" i="30"/>
  <c r="E17" i="30"/>
  <c r="H9" i="30"/>
  <c r="G12" i="30"/>
  <c r="G15" i="30" s="1"/>
  <c r="E139" i="29"/>
  <c r="E137" i="29"/>
  <c r="E175" i="43" l="1"/>
  <c r="E180" i="43" s="1"/>
  <c r="J180" i="43" s="1"/>
  <c r="O43" i="40" s="1"/>
  <c r="M131" i="34"/>
  <c r="M161" i="44"/>
  <c r="M163" i="44"/>
  <c r="M164" i="44"/>
  <c r="N164" i="44"/>
  <c r="O163" i="44"/>
  <c r="O164" i="44"/>
  <c r="N163" i="44"/>
  <c r="P164" i="44"/>
  <c r="N161" i="44"/>
  <c r="P163" i="44"/>
  <c r="O161" i="44"/>
  <c r="P161" i="44"/>
  <c r="U161" i="44"/>
  <c r="U164" i="44"/>
  <c r="U163" i="44"/>
  <c r="V163" i="44"/>
  <c r="V164" i="44"/>
  <c r="W163" i="44"/>
  <c r="W164" i="44"/>
  <c r="X163" i="44"/>
  <c r="X164" i="44"/>
  <c r="V161" i="44"/>
  <c r="W161" i="44"/>
  <c r="X161" i="44"/>
  <c r="AK161" i="44"/>
  <c r="AK163" i="44"/>
  <c r="AK164" i="44"/>
  <c r="AM163" i="44"/>
  <c r="AM164" i="44"/>
  <c r="AL163" i="44"/>
  <c r="AL164" i="44"/>
  <c r="AN164" i="44"/>
  <c r="AN163" i="44"/>
  <c r="AM161" i="44"/>
  <c r="AL161" i="44"/>
  <c r="AN161" i="44"/>
  <c r="AC163" i="44"/>
  <c r="AC164" i="44"/>
  <c r="AC161" i="44"/>
  <c r="AE164" i="44"/>
  <c r="AD163" i="44"/>
  <c r="AE163" i="44"/>
  <c r="AD164" i="44"/>
  <c r="AF164" i="44"/>
  <c r="AD161" i="44"/>
  <c r="AF163" i="44"/>
  <c r="AE161" i="44"/>
  <c r="AF161" i="44"/>
  <c r="E291" i="31"/>
  <c r="E279" i="31"/>
  <c r="H148" i="44"/>
  <c r="M148" i="44" s="1"/>
  <c r="E233" i="32"/>
  <c r="E236" i="32"/>
  <c r="E237" i="32"/>
  <c r="E280" i="31"/>
  <c r="E239" i="32"/>
  <c r="E235" i="32"/>
  <c r="E234" i="32"/>
  <c r="F25" i="34"/>
  <c r="F29" i="34" s="1"/>
  <c r="AK135" i="34"/>
  <c r="AK134" i="34"/>
  <c r="AK131" i="34"/>
  <c r="AK138" i="34"/>
  <c r="AK133" i="34"/>
  <c r="AK136" i="34"/>
  <c r="AK137" i="34"/>
  <c r="AK132" i="34"/>
  <c r="AC137" i="34"/>
  <c r="AC134" i="34"/>
  <c r="AC136" i="34"/>
  <c r="AC131" i="34"/>
  <c r="AC132" i="34"/>
  <c r="AC133" i="34"/>
  <c r="AC135" i="34"/>
  <c r="AC138" i="34"/>
  <c r="M132" i="34"/>
  <c r="M135" i="34"/>
  <c r="M136" i="34"/>
  <c r="M134" i="34"/>
  <c r="M137" i="34"/>
  <c r="M133" i="34"/>
  <c r="M138" i="34"/>
  <c r="U134" i="34"/>
  <c r="U131" i="34"/>
  <c r="U135" i="34"/>
  <c r="U136" i="34"/>
  <c r="U132" i="34"/>
  <c r="U138" i="34"/>
  <c r="U137" i="34"/>
  <c r="U133" i="34"/>
  <c r="H308" i="29"/>
  <c r="H334" i="29"/>
  <c r="H363" i="29" s="1"/>
  <c r="N309" i="29"/>
  <c r="N335" i="29"/>
  <c r="N364" i="29" s="1"/>
  <c r="F308" i="29"/>
  <c r="F334" i="29"/>
  <c r="F363" i="29" s="1"/>
  <c r="M309" i="29"/>
  <c r="M335" i="29"/>
  <c r="M364" i="29" s="1"/>
  <c r="E308" i="29"/>
  <c r="E334" i="29"/>
  <c r="E363" i="29" s="1"/>
  <c r="G308" i="29"/>
  <c r="G334" i="29"/>
  <c r="G363" i="29" s="1"/>
  <c r="O309" i="29"/>
  <c r="O335" i="29"/>
  <c r="O364" i="29" s="1"/>
  <c r="L308" i="29"/>
  <c r="L334" i="29"/>
  <c r="L363" i="29" s="1"/>
  <c r="E40" i="35"/>
  <c r="E42" i="35" s="1"/>
  <c r="E47" i="35" s="1"/>
  <c r="E52" i="35" s="1"/>
  <c r="E53" i="35" s="1"/>
  <c r="H31" i="34"/>
  <c r="H29" i="34"/>
  <c r="H33" i="34"/>
  <c r="H30" i="34"/>
  <c r="H35" i="34"/>
  <c r="H32" i="34"/>
  <c r="H28" i="34"/>
  <c r="H34" i="34"/>
  <c r="H32" i="32"/>
  <c r="H34" i="32"/>
  <c r="H37" i="32"/>
  <c r="H31" i="32"/>
  <c r="H33" i="32"/>
  <c r="H36" i="32"/>
  <c r="H35" i="32"/>
  <c r="G37" i="32"/>
  <c r="G36" i="32"/>
  <c r="G33" i="32"/>
  <c r="G34" i="32"/>
  <c r="G32" i="32"/>
  <c r="G35" i="32"/>
  <c r="F33" i="32"/>
  <c r="F36" i="32"/>
  <c r="F31" i="32"/>
  <c r="F34" i="32"/>
  <c r="F32" i="32"/>
  <c r="F37" i="32"/>
  <c r="F35" i="32"/>
  <c r="G30" i="34"/>
  <c r="G29" i="34"/>
  <c r="G34" i="34"/>
  <c r="G31" i="34"/>
  <c r="G35" i="34"/>
  <c r="G33" i="34"/>
  <c r="G32" i="34"/>
  <c r="H32" i="29"/>
  <c r="H8" i="31" s="1"/>
  <c r="G8" i="31"/>
  <c r="E21" i="30"/>
  <c r="E52" i="30"/>
  <c r="H61" i="30"/>
  <c r="H62" i="30" s="1"/>
  <c r="E56" i="30"/>
  <c r="G17" i="30"/>
  <c r="H12" i="30"/>
  <c r="H15" i="30" s="1"/>
  <c r="G173" i="44" l="1"/>
  <c r="G264" i="44" s="1"/>
  <c r="G272" i="44" s="1"/>
  <c r="G171" i="44"/>
  <c r="G262" i="44" s="1"/>
  <c r="G270" i="44" s="1"/>
  <c r="H173" i="44"/>
  <c r="H264" i="44" s="1"/>
  <c r="H272" i="44" s="1"/>
  <c r="F171" i="44"/>
  <c r="F262" i="44" s="1"/>
  <c r="F270" i="44" s="1"/>
  <c r="H174" i="44"/>
  <c r="H265" i="44" s="1"/>
  <c r="H273" i="44" s="1"/>
  <c r="F173" i="44"/>
  <c r="F264" i="44" s="1"/>
  <c r="F272" i="44" s="1"/>
  <c r="G174" i="44"/>
  <c r="G265" i="44" s="1"/>
  <c r="G273" i="44" s="1"/>
  <c r="F174" i="44"/>
  <c r="F265" i="44" s="1"/>
  <c r="F273" i="44" s="1"/>
  <c r="E173" i="44"/>
  <c r="E264" i="44" s="1"/>
  <c r="E272" i="44" s="1"/>
  <c r="E174" i="44"/>
  <c r="E265" i="44" s="1"/>
  <c r="E273" i="44" s="1"/>
  <c r="E171" i="44"/>
  <c r="E262" i="44" s="1"/>
  <c r="E270" i="44" s="1"/>
  <c r="H171" i="44"/>
  <c r="H262" i="44" s="1"/>
  <c r="H270" i="44" s="1"/>
  <c r="F188" i="32"/>
  <c r="G170" i="34"/>
  <c r="H173" i="34"/>
  <c r="G171" i="34"/>
  <c r="G190" i="32"/>
  <c r="H176" i="34"/>
  <c r="H172" i="34"/>
  <c r="G187" i="32"/>
  <c r="F189" i="32"/>
  <c r="G191" i="32"/>
  <c r="H171" i="34"/>
  <c r="F186" i="32"/>
  <c r="F191" i="32"/>
  <c r="H189" i="32"/>
  <c r="H174" i="34"/>
  <c r="F185" i="32"/>
  <c r="G173" i="34"/>
  <c r="F190" i="32"/>
  <c r="H191" i="32"/>
  <c r="G174" i="34"/>
  <c r="F187" i="32"/>
  <c r="H188" i="32"/>
  <c r="H185" i="32"/>
  <c r="G189" i="32"/>
  <c r="H186" i="32"/>
  <c r="H190" i="32"/>
  <c r="G172" i="34"/>
  <c r="G186" i="32"/>
  <c r="H175" i="34"/>
  <c r="F170" i="34"/>
  <c r="H170" i="34"/>
  <c r="H187" i="32"/>
  <c r="G176" i="34"/>
  <c r="G175" i="34"/>
  <c r="G188" i="32"/>
  <c r="H169" i="34"/>
  <c r="E144" i="34"/>
  <c r="E277" i="34" s="1"/>
  <c r="F33" i="34"/>
  <c r="AL125" i="34" s="1"/>
  <c r="AL136" i="34" s="1"/>
  <c r="F35" i="34"/>
  <c r="F176" i="34" s="1"/>
  <c r="E150" i="34"/>
  <c r="E283" i="34" s="1"/>
  <c r="F31" i="34"/>
  <c r="F172" i="34" s="1"/>
  <c r="F34" i="34"/>
  <c r="F126" i="34" s="1"/>
  <c r="F30" i="34"/>
  <c r="F171" i="34" s="1"/>
  <c r="F28" i="34"/>
  <c r="F32" i="34"/>
  <c r="F173" i="34" s="1"/>
  <c r="F129" i="32"/>
  <c r="AL129" i="32"/>
  <c r="N129" i="32"/>
  <c r="AD129" i="32"/>
  <c r="V129" i="32"/>
  <c r="AF125" i="34"/>
  <c r="AF136" i="34" s="1"/>
  <c r="P125" i="34"/>
  <c r="X125" i="34"/>
  <c r="X136" i="34" s="1"/>
  <c r="AN125" i="34"/>
  <c r="AN136" i="34" s="1"/>
  <c r="F126" i="32"/>
  <c r="V126" i="32"/>
  <c r="N126" i="32"/>
  <c r="AD126" i="32"/>
  <c r="AL126" i="32"/>
  <c r="F121" i="34"/>
  <c r="AL121" i="34"/>
  <c r="AL132" i="34" s="1"/>
  <c r="AD121" i="34"/>
  <c r="AD132" i="34" s="1"/>
  <c r="V121" i="34"/>
  <c r="V132" i="34" s="1"/>
  <c r="N121" i="34"/>
  <c r="H121" i="34"/>
  <c r="P121" i="34"/>
  <c r="X121" i="34"/>
  <c r="X132" i="34" s="1"/>
  <c r="AN121" i="34"/>
  <c r="AN132" i="34" s="1"/>
  <c r="AF121" i="34"/>
  <c r="AF132" i="34" s="1"/>
  <c r="G128" i="32"/>
  <c r="O128" i="32"/>
  <c r="AM128" i="32"/>
  <c r="AE128" i="32"/>
  <c r="W128" i="32"/>
  <c r="AF123" i="34"/>
  <c r="AF134" i="34" s="1"/>
  <c r="X123" i="34"/>
  <c r="X134" i="34" s="1"/>
  <c r="P123" i="34"/>
  <c r="AN123" i="34"/>
  <c r="AN134" i="34" s="1"/>
  <c r="G125" i="32"/>
  <c r="AM125" i="32"/>
  <c r="AE125" i="32"/>
  <c r="W125" i="32"/>
  <c r="O125" i="32"/>
  <c r="G127" i="32"/>
  <c r="AE127" i="32"/>
  <c r="AM127" i="32"/>
  <c r="O127" i="32"/>
  <c r="W127" i="32"/>
  <c r="W123" i="34"/>
  <c r="W134" i="34" s="1"/>
  <c r="O123" i="34"/>
  <c r="AM123" i="34"/>
  <c r="AM134" i="34" s="1"/>
  <c r="AE123" i="34"/>
  <c r="AE134" i="34" s="1"/>
  <c r="H124" i="32"/>
  <c r="H76" i="32"/>
  <c r="X124" i="32"/>
  <c r="AN124" i="32"/>
  <c r="AF124" i="32"/>
  <c r="P124" i="32"/>
  <c r="G129" i="32"/>
  <c r="O129" i="32"/>
  <c r="W129" i="32"/>
  <c r="AM129" i="32"/>
  <c r="AE129" i="32"/>
  <c r="E147" i="34"/>
  <c r="E280" i="34" s="1"/>
  <c r="G121" i="34"/>
  <c r="AE121" i="34"/>
  <c r="AE132" i="34" s="1"/>
  <c r="O121" i="34"/>
  <c r="AM121" i="34"/>
  <c r="AM132" i="34" s="1"/>
  <c r="W121" i="34"/>
  <c r="W132" i="34" s="1"/>
  <c r="G130" i="32"/>
  <c r="W130" i="32"/>
  <c r="O130" i="32"/>
  <c r="AM130" i="32"/>
  <c r="AE130" i="32"/>
  <c r="H127" i="32"/>
  <c r="AF127" i="32"/>
  <c r="AN127" i="32"/>
  <c r="P127" i="32"/>
  <c r="X127" i="32"/>
  <c r="E149" i="34"/>
  <c r="E282" i="34" s="1"/>
  <c r="G122" i="34"/>
  <c r="AE122" i="34"/>
  <c r="AE133" i="34" s="1"/>
  <c r="W122" i="34"/>
  <c r="W133" i="34" s="1"/>
  <c r="AM122" i="34"/>
  <c r="AM133" i="34" s="1"/>
  <c r="O122" i="34"/>
  <c r="H125" i="32"/>
  <c r="AN125" i="32"/>
  <c r="AF125" i="32"/>
  <c r="P125" i="32"/>
  <c r="X125" i="32"/>
  <c r="E148" i="34"/>
  <c r="E281" i="34" s="1"/>
  <c r="F127" i="32"/>
  <c r="V127" i="32"/>
  <c r="N127" i="32"/>
  <c r="AD127" i="32"/>
  <c r="AL127" i="32"/>
  <c r="X127" i="34"/>
  <c r="X138" i="34" s="1"/>
  <c r="AN127" i="34"/>
  <c r="AN138" i="34" s="1"/>
  <c r="AF127" i="34"/>
  <c r="AF138" i="34" s="1"/>
  <c r="P127" i="34"/>
  <c r="F124" i="32"/>
  <c r="AL124" i="32"/>
  <c r="F76" i="32"/>
  <c r="N124" i="32"/>
  <c r="V124" i="32"/>
  <c r="AD124" i="32"/>
  <c r="H122" i="34"/>
  <c r="P122" i="34"/>
  <c r="X122" i="34"/>
  <c r="X133" i="34" s="1"/>
  <c r="AN122" i="34"/>
  <c r="AN133" i="34" s="1"/>
  <c r="AF122" i="34"/>
  <c r="AF133" i="34" s="1"/>
  <c r="W124" i="34"/>
  <c r="W135" i="34" s="1"/>
  <c r="AE124" i="34"/>
  <c r="AE135" i="34" s="1"/>
  <c r="AM124" i="34"/>
  <c r="AM135" i="34" s="1"/>
  <c r="O124" i="34"/>
  <c r="H128" i="32"/>
  <c r="AF128" i="32"/>
  <c r="AN128" i="32"/>
  <c r="P128" i="32"/>
  <c r="X128" i="32"/>
  <c r="E151" i="34"/>
  <c r="E284" i="34" s="1"/>
  <c r="O125" i="34"/>
  <c r="AM125" i="34"/>
  <c r="AM136" i="34" s="1"/>
  <c r="W125" i="34"/>
  <c r="W136" i="34" s="1"/>
  <c r="AE125" i="34"/>
  <c r="AE136" i="34" s="1"/>
  <c r="H129" i="32"/>
  <c r="X129" i="32"/>
  <c r="AN129" i="32"/>
  <c r="P129" i="32"/>
  <c r="AF129" i="32"/>
  <c r="E146" i="34"/>
  <c r="E279" i="34" s="1"/>
  <c r="AM127" i="34"/>
  <c r="AM138" i="34" s="1"/>
  <c r="O127" i="34"/>
  <c r="W127" i="34"/>
  <c r="W138" i="34" s="1"/>
  <c r="AE127" i="34"/>
  <c r="AE138" i="34" s="1"/>
  <c r="H126" i="32"/>
  <c r="AN126" i="32"/>
  <c r="AF126" i="32"/>
  <c r="X126" i="32"/>
  <c r="P126" i="32"/>
  <c r="G126" i="32"/>
  <c r="AM126" i="32"/>
  <c r="AE126" i="32"/>
  <c r="W126" i="32"/>
  <c r="O126" i="32"/>
  <c r="O126" i="34"/>
  <c r="AM126" i="34"/>
  <c r="AM137" i="34" s="1"/>
  <c r="W126" i="34"/>
  <c r="W137" i="34" s="1"/>
  <c r="AE126" i="34"/>
  <c r="AE137" i="34" s="1"/>
  <c r="H130" i="32"/>
  <c r="X130" i="32"/>
  <c r="AN130" i="32"/>
  <c r="AF130" i="32"/>
  <c r="P130" i="32"/>
  <c r="F128" i="32"/>
  <c r="AL128" i="32"/>
  <c r="AD128" i="32"/>
  <c r="N128" i="32"/>
  <c r="V128" i="32"/>
  <c r="AN126" i="34"/>
  <c r="AN137" i="34" s="1"/>
  <c r="X126" i="34"/>
  <c r="X137" i="34" s="1"/>
  <c r="P126" i="34"/>
  <c r="AF126" i="34"/>
  <c r="AF137" i="34" s="1"/>
  <c r="E145" i="34"/>
  <c r="E278" i="34" s="1"/>
  <c r="F130" i="32"/>
  <c r="AL130" i="32"/>
  <c r="N130" i="32"/>
  <c r="AD130" i="32"/>
  <c r="V130" i="32"/>
  <c r="H120" i="34"/>
  <c r="H72" i="34"/>
  <c r="AN120" i="34"/>
  <c r="AN131" i="34" s="1"/>
  <c r="X120" i="34"/>
  <c r="X131" i="34" s="1"/>
  <c r="AF120" i="34"/>
  <c r="AF131" i="34" s="1"/>
  <c r="P120" i="34"/>
  <c r="F125" i="32"/>
  <c r="AL125" i="32"/>
  <c r="V125" i="32"/>
  <c r="AD125" i="32"/>
  <c r="N125" i="32"/>
  <c r="AN124" i="34"/>
  <c r="AN135" i="34" s="1"/>
  <c r="AF124" i="34"/>
  <c r="AF135" i="34" s="1"/>
  <c r="P124" i="34"/>
  <c r="X124" i="34"/>
  <c r="X135" i="34" s="1"/>
  <c r="G309" i="29"/>
  <c r="G335" i="29"/>
  <c r="G364" i="29" s="1"/>
  <c r="M310" i="29"/>
  <c r="M336" i="29"/>
  <c r="M365" i="29" s="1"/>
  <c r="F309" i="29"/>
  <c r="F335" i="29"/>
  <c r="F364" i="29" s="1"/>
  <c r="E309" i="29"/>
  <c r="E335" i="29"/>
  <c r="E364" i="29" s="1"/>
  <c r="L309" i="29"/>
  <c r="L335" i="29"/>
  <c r="L364" i="29" s="1"/>
  <c r="N310" i="29"/>
  <c r="N336" i="29"/>
  <c r="N365" i="29" s="1"/>
  <c r="O310" i="29"/>
  <c r="O336" i="29"/>
  <c r="O365" i="29" s="1"/>
  <c r="H309" i="29"/>
  <c r="H335" i="29"/>
  <c r="H364" i="29" s="1"/>
  <c r="E62" i="35"/>
  <c r="E16" i="43" s="1"/>
  <c r="H124" i="34"/>
  <c r="H127" i="34"/>
  <c r="H125" i="34"/>
  <c r="H123" i="34"/>
  <c r="G124" i="34"/>
  <c r="G126" i="34"/>
  <c r="G125" i="34"/>
  <c r="G127" i="34"/>
  <c r="H126" i="34"/>
  <c r="G123" i="34"/>
  <c r="E23" i="30"/>
  <c r="E57" i="30"/>
  <c r="H17" i="30"/>
  <c r="J273" i="44" l="1"/>
  <c r="O50" i="40" s="1"/>
  <c r="J272" i="44"/>
  <c r="O49" i="40" s="1"/>
  <c r="J270" i="44"/>
  <c r="O47" i="40" s="1"/>
  <c r="E167" i="30"/>
  <c r="E170" i="30"/>
  <c r="E168" i="30"/>
  <c r="E169" i="30"/>
  <c r="E164" i="30"/>
  <c r="E172" i="30"/>
  <c r="E171" i="30"/>
  <c r="E165" i="30"/>
  <c r="E166" i="30"/>
  <c r="U106" i="43"/>
  <c r="AK106" i="43"/>
  <c r="AC106" i="43"/>
  <c r="AC111" i="43" s="1"/>
  <c r="M106" i="43"/>
  <c r="E136" i="43"/>
  <c r="V126" i="34"/>
  <c r="V137" i="34" s="1"/>
  <c r="N126" i="34"/>
  <c r="N137" i="34" s="1"/>
  <c r="AD126" i="34"/>
  <c r="AD137" i="34" s="1"/>
  <c r="G271" i="32"/>
  <c r="G260" i="34"/>
  <c r="N127" i="34"/>
  <c r="N138" i="34" s="1"/>
  <c r="H272" i="32"/>
  <c r="H274" i="32"/>
  <c r="G272" i="32"/>
  <c r="AL127" i="34"/>
  <c r="AL138" i="34" s="1"/>
  <c r="H271" i="32"/>
  <c r="H269" i="32"/>
  <c r="H259" i="34"/>
  <c r="G257" i="34"/>
  <c r="G212" i="34"/>
  <c r="G200" i="34"/>
  <c r="H213" i="32"/>
  <c r="H225" i="32"/>
  <c r="H212" i="32"/>
  <c r="H224" i="32"/>
  <c r="F137" i="32"/>
  <c r="F247" i="32" s="1"/>
  <c r="F211" i="32"/>
  <c r="F223" i="32"/>
  <c r="H136" i="32"/>
  <c r="H246" i="32" s="1"/>
  <c r="H210" i="32"/>
  <c r="H222" i="32"/>
  <c r="G256" i="34"/>
  <c r="H254" i="34"/>
  <c r="H195" i="34"/>
  <c r="H207" i="34"/>
  <c r="F211" i="34"/>
  <c r="F199" i="34"/>
  <c r="F141" i="32"/>
  <c r="F251" i="32" s="1"/>
  <c r="F227" i="32"/>
  <c r="F215" i="32"/>
  <c r="F210" i="32"/>
  <c r="F222" i="32"/>
  <c r="F225" i="32"/>
  <c r="F213" i="32"/>
  <c r="H273" i="32"/>
  <c r="G255" i="34"/>
  <c r="H256" i="34"/>
  <c r="H194" i="34"/>
  <c r="H206" i="34"/>
  <c r="G223" i="32"/>
  <c r="G211" i="32"/>
  <c r="F272" i="32"/>
  <c r="G210" i="32"/>
  <c r="G222" i="32"/>
  <c r="F125" i="34"/>
  <c r="F136" i="34" s="1"/>
  <c r="F234" i="34" s="1"/>
  <c r="F174" i="34"/>
  <c r="G208" i="34"/>
  <c r="G196" i="34"/>
  <c r="E266" i="34"/>
  <c r="E267" i="34"/>
  <c r="H199" i="34"/>
  <c r="H211" i="34"/>
  <c r="H253" i="34"/>
  <c r="H275" i="32"/>
  <c r="H255" i="34"/>
  <c r="G275" i="32"/>
  <c r="G274" i="32"/>
  <c r="F254" i="34"/>
  <c r="H258" i="34"/>
  <c r="G226" i="32"/>
  <c r="G214" i="32"/>
  <c r="G210" i="34"/>
  <c r="G198" i="34"/>
  <c r="G133" i="34"/>
  <c r="G231" i="34" s="1"/>
  <c r="G195" i="34"/>
  <c r="G207" i="34"/>
  <c r="H257" i="34"/>
  <c r="F132" i="34"/>
  <c r="F230" i="34" s="1"/>
  <c r="F194" i="34"/>
  <c r="F206" i="34"/>
  <c r="G211" i="34"/>
  <c r="G199" i="34"/>
  <c r="F224" i="32"/>
  <c r="F212" i="32"/>
  <c r="G138" i="32"/>
  <c r="G248" i="32" s="1"/>
  <c r="G212" i="32"/>
  <c r="G224" i="32"/>
  <c r="F274" i="32"/>
  <c r="H196" i="34"/>
  <c r="H208" i="34"/>
  <c r="H193" i="34"/>
  <c r="H205" i="34"/>
  <c r="G254" i="34"/>
  <c r="G270" i="32"/>
  <c r="G273" i="32"/>
  <c r="F175" i="34"/>
  <c r="F169" i="34"/>
  <c r="F269" i="32"/>
  <c r="H210" i="34"/>
  <c r="H198" i="34"/>
  <c r="H137" i="32"/>
  <c r="H247" i="32" s="1"/>
  <c r="H211" i="32"/>
  <c r="H223" i="32"/>
  <c r="G139" i="32"/>
  <c r="G249" i="32" s="1"/>
  <c r="G213" i="32"/>
  <c r="G225" i="32"/>
  <c r="F226" i="32"/>
  <c r="F214" i="32"/>
  <c r="E265" i="34"/>
  <c r="G141" i="32"/>
  <c r="G251" i="32" s="1"/>
  <c r="G215" i="32"/>
  <c r="G227" i="32"/>
  <c r="H141" i="32"/>
  <c r="H251" i="32" s="1"/>
  <c r="H227" i="32"/>
  <c r="H215" i="32"/>
  <c r="H140" i="32"/>
  <c r="H250" i="32" s="1"/>
  <c r="H226" i="32"/>
  <c r="H214" i="32"/>
  <c r="H200" i="34"/>
  <c r="H212" i="34"/>
  <c r="F270" i="32"/>
  <c r="F135" i="32"/>
  <c r="F245" i="32" s="1"/>
  <c r="F209" i="32"/>
  <c r="F221" i="32"/>
  <c r="H270" i="32"/>
  <c r="G194" i="34"/>
  <c r="G206" i="34"/>
  <c r="H221" i="32"/>
  <c r="H209" i="32"/>
  <c r="F271" i="32"/>
  <c r="N125" i="34"/>
  <c r="N136" i="34" s="1"/>
  <c r="G197" i="34"/>
  <c r="G209" i="34"/>
  <c r="H197" i="34"/>
  <c r="H209" i="34"/>
  <c r="F275" i="32"/>
  <c r="F273" i="32"/>
  <c r="G259" i="34"/>
  <c r="G258" i="34"/>
  <c r="H260" i="34"/>
  <c r="AD125" i="34"/>
  <c r="AD136" i="34" s="1"/>
  <c r="AL126" i="34"/>
  <c r="AL137" i="34" s="1"/>
  <c r="AD124" i="34"/>
  <c r="AD135" i="34" s="1"/>
  <c r="V122" i="34"/>
  <c r="V133" i="34" s="1"/>
  <c r="AL123" i="34"/>
  <c r="AL134" i="34" s="1"/>
  <c r="V127" i="34"/>
  <c r="V138" i="34" s="1"/>
  <c r="V125" i="34"/>
  <c r="V136" i="34" s="1"/>
  <c r="E270" i="34"/>
  <c r="E268" i="34"/>
  <c r="E269" i="34"/>
  <c r="E271" i="34"/>
  <c r="E272" i="34"/>
  <c r="F120" i="34"/>
  <c r="AL122" i="34"/>
  <c r="AL133" i="34" s="1"/>
  <c r="N122" i="34"/>
  <c r="G137" i="32"/>
  <c r="G247" i="32" s="1"/>
  <c r="AD120" i="34"/>
  <c r="AD131" i="34" s="1"/>
  <c r="AL120" i="34"/>
  <c r="AL131" i="34" s="1"/>
  <c r="AD123" i="34"/>
  <c r="AD134" i="34" s="1"/>
  <c r="N123" i="34"/>
  <c r="N134" i="34" s="1"/>
  <c r="F123" i="34"/>
  <c r="F124" i="34"/>
  <c r="V123" i="34"/>
  <c r="V134" i="34" s="1"/>
  <c r="F127" i="34"/>
  <c r="AD127" i="34"/>
  <c r="AD138" i="34" s="1"/>
  <c r="V124" i="34"/>
  <c r="V135" i="34" s="1"/>
  <c r="AL124" i="34"/>
  <c r="AL135" i="34" s="1"/>
  <c r="H133" i="34"/>
  <c r="H231" i="34" s="1"/>
  <c r="F122" i="34"/>
  <c r="F138" i="32"/>
  <c r="F248" i="32" s="1"/>
  <c r="F136" i="32"/>
  <c r="F246" i="32" s="1"/>
  <c r="H139" i="32"/>
  <c r="H249" i="32" s="1"/>
  <c r="V120" i="34"/>
  <c r="V131" i="34" s="1"/>
  <c r="F72" i="34"/>
  <c r="F83" i="34" s="1"/>
  <c r="F181" i="34" s="1"/>
  <c r="AD122" i="34"/>
  <c r="AD133" i="34" s="1"/>
  <c r="N124" i="34"/>
  <c r="N120" i="34"/>
  <c r="H138" i="32"/>
  <c r="H248" i="32" s="1"/>
  <c r="F140" i="32"/>
  <c r="F250" i="32" s="1"/>
  <c r="G140" i="32"/>
  <c r="G250" i="32" s="1"/>
  <c r="H241" i="34"/>
  <c r="P131" i="34"/>
  <c r="H144" i="34" s="1"/>
  <c r="H277" i="34" s="1"/>
  <c r="H262" i="32"/>
  <c r="G245" i="34"/>
  <c r="O135" i="34"/>
  <c r="G148" i="34" s="1"/>
  <c r="G281" i="34" s="1"/>
  <c r="F257" i="32"/>
  <c r="F242" i="34"/>
  <c r="N132" i="34"/>
  <c r="F145" i="34" s="1"/>
  <c r="F278" i="34" s="1"/>
  <c r="H135" i="32"/>
  <c r="H245" i="32" s="1"/>
  <c r="H263" i="32"/>
  <c r="G244" i="34"/>
  <c r="O134" i="34"/>
  <c r="G147" i="34" s="1"/>
  <c r="G280" i="34" s="1"/>
  <c r="F262" i="32"/>
  <c r="H247" i="34"/>
  <c r="P137" i="34"/>
  <c r="H150" i="34" s="1"/>
  <c r="H283" i="34" s="1"/>
  <c r="G260" i="32"/>
  <c r="G246" i="34"/>
  <c r="O136" i="34"/>
  <c r="G149" i="34" s="1"/>
  <c r="G282" i="34" s="1"/>
  <c r="G262" i="32"/>
  <c r="G261" i="32"/>
  <c r="F259" i="32"/>
  <c r="F258" i="32"/>
  <c r="G263" i="32"/>
  <c r="H257" i="32"/>
  <c r="H131" i="34"/>
  <c r="H229" i="34" s="1"/>
  <c r="G132" i="34"/>
  <c r="G230" i="34" s="1"/>
  <c r="G247" i="34"/>
  <c r="O137" i="34"/>
  <c r="G150" i="34" s="1"/>
  <c r="G283" i="34" s="1"/>
  <c r="G248" i="34"/>
  <c r="O138" i="34"/>
  <c r="G151" i="34" s="1"/>
  <c r="G284" i="34" s="1"/>
  <c r="H261" i="32"/>
  <c r="G243" i="34"/>
  <c r="O133" i="34"/>
  <c r="G146" i="34" s="1"/>
  <c r="G279" i="34" s="1"/>
  <c r="G258" i="32"/>
  <c r="H245" i="34"/>
  <c r="P135" i="34"/>
  <c r="H148" i="34" s="1"/>
  <c r="H281" i="34" s="1"/>
  <c r="G242" i="34"/>
  <c r="O132" i="34"/>
  <c r="G145" i="34" s="1"/>
  <c r="G278" i="34" s="1"/>
  <c r="F139" i="32"/>
  <c r="F249" i="32" s="1"/>
  <c r="H258" i="32"/>
  <c r="H244" i="34"/>
  <c r="P134" i="34"/>
  <c r="H147" i="34" s="1"/>
  <c r="H280" i="34" s="1"/>
  <c r="H259" i="32"/>
  <c r="H260" i="32"/>
  <c r="H248" i="34"/>
  <c r="P138" i="34"/>
  <c r="H151" i="34" s="1"/>
  <c r="H284" i="34" s="1"/>
  <c r="H243" i="34"/>
  <c r="P133" i="34"/>
  <c r="H146" i="34" s="1"/>
  <c r="H279" i="34" s="1"/>
  <c r="F260" i="32"/>
  <c r="H132" i="34"/>
  <c r="H230" i="34" s="1"/>
  <c r="G136" i="32"/>
  <c r="G246" i="32" s="1"/>
  <c r="F261" i="32"/>
  <c r="G259" i="32"/>
  <c r="F263" i="32"/>
  <c r="H242" i="34"/>
  <c r="P132" i="34"/>
  <c r="H145" i="34" s="1"/>
  <c r="H278" i="34" s="1"/>
  <c r="H246" i="34"/>
  <c r="P136" i="34"/>
  <c r="H149" i="34" s="1"/>
  <c r="H282" i="34" s="1"/>
  <c r="N311" i="29"/>
  <c r="N337" i="29"/>
  <c r="N366" i="29" s="1"/>
  <c r="L310" i="29"/>
  <c r="L336" i="29"/>
  <c r="L365" i="29" s="1"/>
  <c r="E310" i="29"/>
  <c r="E336" i="29"/>
  <c r="E365" i="29" s="1"/>
  <c r="F310" i="29"/>
  <c r="F336" i="29"/>
  <c r="F365" i="29" s="1"/>
  <c r="H310" i="29"/>
  <c r="H336" i="29"/>
  <c r="H365" i="29" s="1"/>
  <c r="M311" i="29"/>
  <c r="M337" i="29"/>
  <c r="M366" i="29" s="1"/>
  <c r="O311" i="29"/>
  <c r="O337" i="29"/>
  <c r="O366" i="29" s="1"/>
  <c r="G310" i="29"/>
  <c r="G336" i="29"/>
  <c r="G365" i="29" s="1"/>
  <c r="E11" i="43"/>
  <c r="E82" i="43"/>
  <c r="E106" i="43"/>
  <c r="H134" i="34"/>
  <c r="H232" i="34" s="1"/>
  <c r="H137" i="34"/>
  <c r="H235" i="34" s="1"/>
  <c r="G134" i="34"/>
  <c r="G232" i="34" s="1"/>
  <c r="H136" i="34"/>
  <c r="H234" i="34" s="1"/>
  <c r="H135" i="34"/>
  <c r="H233" i="34" s="1"/>
  <c r="G138" i="34"/>
  <c r="G236" i="34" s="1"/>
  <c r="G135" i="34"/>
  <c r="G233" i="34" s="1"/>
  <c r="F137" i="34"/>
  <c r="F235" i="34" s="1"/>
  <c r="G136" i="34"/>
  <c r="G234" i="34" s="1"/>
  <c r="H138" i="34"/>
  <c r="H236" i="34" s="1"/>
  <c r="G137" i="34"/>
  <c r="G235" i="34" s="1"/>
  <c r="E26" i="30"/>
  <c r="E28" i="30"/>
  <c r="E31" i="30"/>
  <c r="E27" i="30"/>
  <c r="E30" i="30"/>
  <c r="E33" i="30"/>
  <c r="E29" i="30"/>
  <c r="E32" i="30"/>
  <c r="AK111" i="43" l="1"/>
  <c r="U111" i="43"/>
  <c r="AK162" i="44"/>
  <c r="AK109" i="43"/>
  <c r="AL162" i="44"/>
  <c r="AM162" i="44"/>
  <c r="AN162" i="44"/>
  <c r="AL109" i="43"/>
  <c r="U109" i="43"/>
  <c r="U162" i="44"/>
  <c r="V162" i="44"/>
  <c r="W162" i="44"/>
  <c r="X162" i="44"/>
  <c r="V109" i="43"/>
  <c r="M162" i="44"/>
  <c r="N162" i="44"/>
  <c r="N109" i="43"/>
  <c r="P162" i="44"/>
  <c r="O162" i="44"/>
  <c r="AC162" i="44"/>
  <c r="AC109" i="43"/>
  <c r="AD162" i="44"/>
  <c r="AF162" i="44"/>
  <c r="AE162" i="44"/>
  <c r="AD109" i="43"/>
  <c r="E173" i="30"/>
  <c r="M111" i="43"/>
  <c r="E166" i="43"/>
  <c r="E171" i="43" s="1"/>
  <c r="F246" i="34"/>
  <c r="E180" i="30"/>
  <c r="F209" i="34"/>
  <c r="F197" i="34"/>
  <c r="G223" i="34"/>
  <c r="H234" i="32"/>
  <c r="H236" i="32"/>
  <c r="F239" i="32"/>
  <c r="F237" i="32"/>
  <c r="E182" i="30"/>
  <c r="G222" i="34"/>
  <c r="G234" i="32"/>
  <c r="F247" i="34"/>
  <c r="H233" i="32"/>
  <c r="F253" i="34"/>
  <c r="F205" i="34"/>
  <c r="F193" i="34"/>
  <c r="H239" i="32"/>
  <c r="F235" i="32"/>
  <c r="G218" i="34"/>
  <c r="F238" i="32"/>
  <c r="N133" i="34"/>
  <c r="F146" i="34" s="1"/>
  <c r="F279" i="34" s="1"/>
  <c r="F255" i="34"/>
  <c r="G237" i="32"/>
  <c r="H224" i="34"/>
  <c r="F150" i="34"/>
  <c r="F283" i="34" s="1"/>
  <c r="E179" i="30"/>
  <c r="F223" i="34"/>
  <c r="H218" i="34"/>
  <c r="F266" i="34"/>
  <c r="N135" i="34"/>
  <c r="F148" i="34" s="1"/>
  <c r="F281" i="34" s="1"/>
  <c r="F257" i="34"/>
  <c r="F212" i="34"/>
  <c r="F200" i="34"/>
  <c r="H235" i="32"/>
  <c r="F259" i="34"/>
  <c r="H237" i="32"/>
  <c r="F256" i="34"/>
  <c r="E183" i="30"/>
  <c r="G239" i="32"/>
  <c r="F218" i="34"/>
  <c r="H267" i="34"/>
  <c r="H222" i="34"/>
  <c r="F234" i="32"/>
  <c r="F258" i="34"/>
  <c r="F198" i="34"/>
  <c r="F210" i="34"/>
  <c r="G221" i="34"/>
  <c r="G266" i="34"/>
  <c r="F233" i="32"/>
  <c r="E177" i="30"/>
  <c r="E178" i="30"/>
  <c r="H266" i="34"/>
  <c r="H265" i="34"/>
  <c r="F236" i="32"/>
  <c r="G224" i="34"/>
  <c r="F222" i="34"/>
  <c r="H217" i="34"/>
  <c r="F208" i="34"/>
  <c r="F196" i="34"/>
  <c r="H221" i="34"/>
  <c r="E176" i="30"/>
  <c r="G220" i="34"/>
  <c r="H223" i="34"/>
  <c r="G267" i="34"/>
  <c r="F133" i="34"/>
  <c r="F231" i="34" s="1"/>
  <c r="F207" i="34"/>
  <c r="F195" i="34"/>
  <c r="F260" i="34"/>
  <c r="G219" i="34"/>
  <c r="E181" i="30"/>
  <c r="H220" i="34"/>
  <c r="G238" i="32"/>
  <c r="H219" i="34"/>
  <c r="G235" i="32"/>
  <c r="H238" i="32"/>
  <c r="G236" i="32"/>
  <c r="F149" i="34"/>
  <c r="F282" i="34" s="1"/>
  <c r="H271" i="34"/>
  <c r="H268" i="34"/>
  <c r="G271" i="34"/>
  <c r="G270" i="34"/>
  <c r="G269" i="34"/>
  <c r="H269" i="34"/>
  <c r="H270" i="34"/>
  <c r="H272" i="34"/>
  <c r="G268" i="34"/>
  <c r="G272" i="34"/>
  <c r="F131" i="34"/>
  <c r="F229" i="34" s="1"/>
  <c r="E67" i="30"/>
  <c r="F134" i="34"/>
  <c r="F232" i="34" s="1"/>
  <c r="F138" i="34"/>
  <c r="F236" i="34" s="1"/>
  <c r="F135" i="34"/>
  <c r="F233" i="34" s="1"/>
  <c r="F151" i="34"/>
  <c r="F284" i="34" s="1"/>
  <c r="F248" i="34"/>
  <c r="F243" i="34"/>
  <c r="F244" i="34"/>
  <c r="F147" i="34"/>
  <c r="F280" i="34" s="1"/>
  <c r="F245" i="34"/>
  <c r="F241" i="34"/>
  <c r="N131" i="34"/>
  <c r="F144" i="34" s="1"/>
  <c r="F277" i="34" s="1"/>
  <c r="AC121" i="30"/>
  <c r="U121" i="30"/>
  <c r="AK121" i="30"/>
  <c r="AC118" i="30"/>
  <c r="AK118" i="30"/>
  <c r="U118" i="30"/>
  <c r="AK119" i="30"/>
  <c r="U119" i="30"/>
  <c r="AC119" i="30"/>
  <c r="AK116" i="30"/>
  <c r="U116" i="30"/>
  <c r="AC116" i="30"/>
  <c r="M115" i="30"/>
  <c r="AC122" i="30"/>
  <c r="U122" i="30"/>
  <c r="AK122" i="30"/>
  <c r="U120" i="30"/>
  <c r="AC120" i="30"/>
  <c r="AK120" i="30"/>
  <c r="U117" i="30"/>
  <c r="AC117" i="30"/>
  <c r="AK117" i="30"/>
  <c r="U115" i="30"/>
  <c r="AK115" i="30"/>
  <c r="AC115" i="30"/>
  <c r="E121" i="30"/>
  <c r="M121" i="30"/>
  <c r="E119" i="30"/>
  <c r="M119" i="30"/>
  <c r="E118" i="30"/>
  <c r="M118" i="30"/>
  <c r="E122" i="30"/>
  <c r="M122" i="30"/>
  <c r="E116" i="30"/>
  <c r="M116" i="30"/>
  <c r="E120" i="30"/>
  <c r="M120" i="30"/>
  <c r="E117" i="30"/>
  <c r="M117" i="30"/>
  <c r="E115" i="30"/>
  <c r="E212" i="30" s="1"/>
  <c r="M312" i="29"/>
  <c r="M338" i="29"/>
  <c r="M367" i="29" s="1"/>
  <c r="F311" i="29"/>
  <c r="F337" i="29"/>
  <c r="F366" i="29" s="1"/>
  <c r="E311" i="29"/>
  <c r="E337" i="29"/>
  <c r="E366" i="29" s="1"/>
  <c r="G311" i="29"/>
  <c r="G337" i="29"/>
  <c r="G366" i="29" s="1"/>
  <c r="L311" i="29"/>
  <c r="L337" i="29"/>
  <c r="L366" i="29" s="1"/>
  <c r="H311" i="29"/>
  <c r="H337" i="29"/>
  <c r="H366" i="29" s="1"/>
  <c r="O312" i="29"/>
  <c r="O338" i="29"/>
  <c r="O367" i="29" s="1"/>
  <c r="N312" i="29"/>
  <c r="N338" i="29"/>
  <c r="N367" i="29" s="1"/>
  <c r="E146" i="43"/>
  <c r="E151" i="43" s="1"/>
  <c r="E111" i="43"/>
  <c r="E156" i="43" s="1"/>
  <c r="E161" i="43" s="1"/>
  <c r="E87" i="43"/>
  <c r="E141" i="43" s="1"/>
  <c r="E96" i="43"/>
  <c r="E116" i="43" l="1"/>
  <c r="E174" i="43" s="1"/>
  <c r="E179" i="43" s="1"/>
  <c r="F271" i="34"/>
  <c r="E118" i="43"/>
  <c r="G172" i="44"/>
  <c r="G263" i="44" s="1"/>
  <c r="G271" i="44" s="1"/>
  <c r="H172" i="44"/>
  <c r="H263" i="44" s="1"/>
  <c r="H271" i="44" s="1"/>
  <c r="F116" i="43"/>
  <c r="F174" i="43" s="1"/>
  <c r="F179" i="43" s="1"/>
  <c r="F172" i="44"/>
  <c r="F263" i="44" s="1"/>
  <c r="F271" i="44" s="1"/>
  <c r="E172" i="44"/>
  <c r="E263" i="44" s="1"/>
  <c r="E271" i="44" s="1"/>
  <c r="J96" i="43"/>
  <c r="E265" i="30"/>
  <c r="E202" i="30"/>
  <c r="E214" i="30"/>
  <c r="F221" i="34"/>
  <c r="E260" i="30"/>
  <c r="E131" i="30"/>
  <c r="E241" i="30" s="1"/>
  <c r="E217" i="30"/>
  <c r="E205" i="30"/>
  <c r="F224" i="34"/>
  <c r="E261" i="30"/>
  <c r="F265" i="34"/>
  <c r="F220" i="34"/>
  <c r="E267" i="30"/>
  <c r="E207" i="30"/>
  <c r="E219" i="30"/>
  <c r="F217" i="34"/>
  <c r="F270" i="34"/>
  <c r="E206" i="30"/>
  <c r="E218" i="30"/>
  <c r="E263" i="30"/>
  <c r="E127" i="30"/>
  <c r="E237" i="30" s="1"/>
  <c r="E213" i="30"/>
  <c r="E201" i="30"/>
  <c r="E129" i="30"/>
  <c r="E239" i="30" s="1"/>
  <c r="E215" i="30"/>
  <c r="E203" i="30"/>
  <c r="E264" i="30"/>
  <c r="F219" i="34"/>
  <c r="F267" i="34"/>
  <c r="E126" i="30"/>
  <c r="E236" i="30" s="1"/>
  <c r="E200" i="30"/>
  <c r="E204" i="30"/>
  <c r="E216" i="30"/>
  <c r="E262" i="30"/>
  <c r="E266" i="30"/>
  <c r="F269" i="34"/>
  <c r="F268" i="34"/>
  <c r="F272" i="34"/>
  <c r="E78" i="30"/>
  <c r="E188" i="30" s="1"/>
  <c r="E93" i="30"/>
  <c r="E132" i="30"/>
  <c r="E242" i="30" s="1"/>
  <c r="E128" i="30"/>
  <c r="E238" i="30" s="1"/>
  <c r="E130" i="30"/>
  <c r="E240" i="30" s="1"/>
  <c r="E249" i="30"/>
  <c r="E255" i="30"/>
  <c r="E251" i="30"/>
  <c r="E248" i="30"/>
  <c r="E252" i="30"/>
  <c r="E253" i="30"/>
  <c r="E250" i="30"/>
  <c r="E254" i="30"/>
  <c r="E133" i="30"/>
  <c r="E243" i="30" s="1"/>
  <c r="H312" i="29"/>
  <c r="H338" i="29"/>
  <c r="H367" i="29" s="1"/>
  <c r="G312" i="29"/>
  <c r="G338" i="29"/>
  <c r="G367" i="29" s="1"/>
  <c r="E312" i="29"/>
  <c r="E338" i="29"/>
  <c r="E367" i="29" s="1"/>
  <c r="L312" i="29"/>
  <c r="L338" i="29"/>
  <c r="L367" i="29" s="1"/>
  <c r="N313" i="29"/>
  <c r="N339" i="29"/>
  <c r="N368" i="29" s="1"/>
  <c r="F312" i="29"/>
  <c r="F338" i="29"/>
  <c r="F367" i="29" s="1"/>
  <c r="O313" i="29"/>
  <c r="O339" i="29"/>
  <c r="O368" i="29" s="1"/>
  <c r="M313" i="29"/>
  <c r="M339" i="29"/>
  <c r="M368" i="29" s="1"/>
  <c r="E101" i="43"/>
  <c r="J101" i="43" s="1"/>
  <c r="J271" i="44" l="1"/>
  <c r="O48" i="40" s="1"/>
  <c r="E176" i="43"/>
  <c r="E181" i="43" s="1"/>
  <c r="E227" i="30"/>
  <c r="E224" i="30"/>
  <c r="E225" i="30"/>
  <c r="E229" i="30"/>
  <c r="E228" i="30"/>
  <c r="E226" i="30"/>
  <c r="E230" i="30"/>
  <c r="E231" i="30"/>
  <c r="F313" i="29"/>
  <c r="F339" i="29"/>
  <c r="F368" i="29" s="1"/>
  <c r="E313" i="29"/>
  <c r="E339" i="29"/>
  <c r="E368" i="29" s="1"/>
  <c r="N314" i="29"/>
  <c r="N340" i="29"/>
  <c r="N369" i="29" s="1"/>
  <c r="M314" i="29"/>
  <c r="M340" i="29"/>
  <c r="M369" i="29" s="1"/>
  <c r="G313" i="29"/>
  <c r="G339" i="29"/>
  <c r="G368" i="29" s="1"/>
  <c r="L313" i="29"/>
  <c r="L339" i="29"/>
  <c r="L368" i="29" s="1"/>
  <c r="O314" i="29"/>
  <c r="O340" i="29"/>
  <c r="O369" i="29" s="1"/>
  <c r="H313" i="29"/>
  <c r="H339" i="29"/>
  <c r="H368" i="29" s="1"/>
  <c r="E314" i="29" l="1"/>
  <c r="E340" i="29"/>
  <c r="E369" i="29" s="1"/>
  <c r="L314" i="29"/>
  <c r="L340" i="29"/>
  <c r="L369" i="29" s="1"/>
  <c r="G314" i="29"/>
  <c r="G340" i="29"/>
  <c r="G369" i="29" s="1"/>
  <c r="M315" i="29"/>
  <c r="M341" i="29"/>
  <c r="M370" i="29" s="1"/>
  <c r="N315" i="29"/>
  <c r="N341" i="29"/>
  <c r="N370" i="29" s="1"/>
  <c r="H314" i="29"/>
  <c r="H340" i="29"/>
  <c r="H369" i="29" s="1"/>
  <c r="O315" i="29"/>
  <c r="O341" i="29"/>
  <c r="O370" i="29" s="1"/>
  <c r="F314" i="29"/>
  <c r="F340" i="29"/>
  <c r="F369" i="29" s="1"/>
  <c r="H315" i="29" l="1"/>
  <c r="H341" i="29"/>
  <c r="H370" i="29" s="1"/>
  <c r="G315" i="29"/>
  <c r="G341" i="29"/>
  <c r="G370" i="29" s="1"/>
  <c r="L315" i="29"/>
  <c r="L341" i="29"/>
  <c r="L370" i="29" s="1"/>
  <c r="N316" i="29"/>
  <c r="N342" i="29"/>
  <c r="N371" i="29" s="1"/>
  <c r="M316" i="29"/>
  <c r="M342" i="29"/>
  <c r="M371" i="29" s="1"/>
  <c r="F315" i="29"/>
  <c r="F341" i="29"/>
  <c r="F370" i="29" s="1"/>
  <c r="O316" i="29"/>
  <c r="O342" i="29"/>
  <c r="O371" i="29" s="1"/>
  <c r="E315" i="29"/>
  <c r="E341" i="29"/>
  <c r="E370" i="29" s="1"/>
  <c r="M317" i="29" l="1"/>
  <c r="M343" i="29"/>
  <c r="M372" i="29" s="1"/>
  <c r="L316" i="29"/>
  <c r="L342" i="29"/>
  <c r="L371" i="29" s="1"/>
  <c r="E316" i="29"/>
  <c r="E342" i="29"/>
  <c r="E371" i="29" s="1"/>
  <c r="G316" i="29"/>
  <c r="G342" i="29"/>
  <c r="G371" i="29" s="1"/>
  <c r="F316" i="29"/>
  <c r="F342" i="29"/>
  <c r="F371" i="29" s="1"/>
  <c r="N317" i="29"/>
  <c r="N343" i="29"/>
  <c r="N372" i="29" s="1"/>
  <c r="O317" i="29"/>
  <c r="O343" i="29"/>
  <c r="O372" i="29" s="1"/>
  <c r="H316" i="29"/>
  <c r="H342" i="29"/>
  <c r="H371" i="29" s="1"/>
  <c r="F317" i="29" l="1"/>
  <c r="F343" i="29"/>
  <c r="F372" i="29" s="1"/>
  <c r="G317" i="29"/>
  <c r="G343" i="29"/>
  <c r="G372" i="29" s="1"/>
  <c r="E317" i="29"/>
  <c r="E343" i="29"/>
  <c r="E372" i="29" s="1"/>
  <c r="N318" i="29"/>
  <c r="N344" i="29"/>
  <c r="N373" i="29" s="1"/>
  <c r="H317" i="29"/>
  <c r="H343" i="29"/>
  <c r="H372" i="29" s="1"/>
  <c r="L317" i="29"/>
  <c r="L343" i="29"/>
  <c r="L372" i="29" s="1"/>
  <c r="O318" i="29"/>
  <c r="O344" i="29"/>
  <c r="O373" i="29" s="1"/>
  <c r="M318" i="29"/>
  <c r="M344" i="29"/>
  <c r="M373" i="29" s="1"/>
  <c r="H318" i="29" l="1"/>
  <c r="H344" i="29"/>
  <c r="H373" i="29" s="1"/>
  <c r="E318" i="29"/>
  <c r="E344" i="29"/>
  <c r="E373" i="29" s="1"/>
  <c r="L318" i="29"/>
  <c r="L344" i="29"/>
  <c r="L373" i="29" s="1"/>
  <c r="N319" i="29"/>
  <c r="N346" i="29" s="1"/>
  <c r="N345" i="29"/>
  <c r="N374" i="29" s="1"/>
  <c r="M319" i="29"/>
  <c r="M346" i="29" s="1"/>
  <c r="M345" i="29"/>
  <c r="M374" i="29" s="1"/>
  <c r="G318" i="29"/>
  <c r="G344" i="29"/>
  <c r="G373" i="29" s="1"/>
  <c r="O319" i="29"/>
  <c r="O346" i="29" s="1"/>
  <c r="O345" i="29"/>
  <c r="O374" i="29" s="1"/>
  <c r="F318" i="29"/>
  <c r="F344" i="29"/>
  <c r="F373" i="29" s="1"/>
  <c r="N375" i="29" l="1"/>
  <c r="AC131" i="30" s="1"/>
  <c r="O375" i="29"/>
  <c r="M375" i="29"/>
  <c r="L319" i="29"/>
  <c r="L346" i="29" s="1"/>
  <c r="L345" i="29"/>
  <c r="L374" i="29" s="1"/>
  <c r="F319" i="29"/>
  <c r="F346" i="29" s="1"/>
  <c r="F345" i="29"/>
  <c r="F374" i="29" s="1"/>
  <c r="E319" i="29"/>
  <c r="E346" i="29" s="1"/>
  <c r="E345" i="29"/>
  <c r="E374" i="29" s="1"/>
  <c r="G319" i="29"/>
  <c r="G346" i="29" s="1"/>
  <c r="G345" i="29"/>
  <c r="G374" i="29" s="1"/>
  <c r="H319" i="29"/>
  <c r="H346" i="29" s="1"/>
  <c r="H345" i="29"/>
  <c r="H374" i="29" s="1"/>
  <c r="AC128" i="30" l="1"/>
  <c r="AC127" i="30"/>
  <c r="AC129" i="30"/>
  <c r="AC132" i="30"/>
  <c r="AC130" i="30"/>
  <c r="U129" i="30"/>
  <c r="U131" i="30"/>
  <c r="U128" i="30"/>
  <c r="U127" i="30"/>
  <c r="U130" i="30"/>
  <c r="U132" i="30"/>
  <c r="AK130" i="30"/>
  <c r="AK127" i="30"/>
  <c r="AK131" i="30"/>
  <c r="AK129" i="30"/>
  <c r="AK132" i="30"/>
  <c r="AK128" i="30"/>
  <c r="H375" i="29"/>
  <c r="G375" i="29"/>
  <c r="E375" i="29"/>
  <c r="F375" i="29"/>
  <c r="L375" i="29"/>
  <c r="U142" i="32" l="1"/>
  <c r="V142" i="32"/>
  <c r="X142" i="32"/>
  <c r="W142" i="32"/>
  <c r="U140" i="32"/>
  <c r="U135" i="32"/>
  <c r="U139" i="32"/>
  <c r="U138" i="32"/>
  <c r="U137" i="32"/>
  <c r="U141" i="32"/>
  <c r="U136" i="32"/>
  <c r="V141" i="32"/>
  <c r="X140" i="32"/>
  <c r="W138" i="32"/>
  <c r="V139" i="32"/>
  <c r="W139" i="32"/>
  <c r="W140" i="32"/>
  <c r="W136" i="32"/>
  <c r="V140" i="32"/>
  <c r="V137" i="32"/>
  <c r="W137" i="32"/>
  <c r="X138" i="32"/>
  <c r="X139" i="32"/>
  <c r="V135" i="32"/>
  <c r="V138" i="32"/>
  <c r="X135" i="32"/>
  <c r="X136" i="32"/>
  <c r="W141" i="32"/>
  <c r="X141" i="32"/>
  <c r="X137" i="32"/>
  <c r="V136" i="32"/>
  <c r="M142" i="32"/>
  <c r="N142" i="32"/>
  <c r="O142" i="32"/>
  <c r="P142" i="32"/>
  <c r="M140" i="32"/>
  <c r="M141" i="32"/>
  <c r="M136" i="32"/>
  <c r="M138" i="32"/>
  <c r="M135" i="32"/>
  <c r="M137" i="32"/>
  <c r="M139" i="32"/>
  <c r="P141" i="32"/>
  <c r="N136" i="32"/>
  <c r="O137" i="32"/>
  <c r="N138" i="32"/>
  <c r="O141" i="32"/>
  <c r="N135" i="32"/>
  <c r="O139" i="32"/>
  <c r="P135" i="32"/>
  <c r="N141" i="32"/>
  <c r="O136" i="32"/>
  <c r="O140" i="32"/>
  <c r="N139" i="32"/>
  <c r="P137" i="32"/>
  <c r="P140" i="32"/>
  <c r="P138" i="32"/>
  <c r="P139" i="32"/>
  <c r="O138" i="32"/>
  <c r="N140" i="32"/>
  <c r="N137" i="32"/>
  <c r="P136" i="32"/>
  <c r="M126" i="30"/>
  <c r="AC142" i="32"/>
  <c r="AD142" i="32"/>
  <c r="AF142" i="32"/>
  <c r="AE142" i="32"/>
  <c r="AC140" i="32"/>
  <c r="AC136" i="32"/>
  <c r="AC139" i="32"/>
  <c r="AC138" i="32"/>
  <c r="AC135" i="32"/>
  <c r="AC141" i="32"/>
  <c r="AC137" i="32"/>
  <c r="AE140" i="32"/>
  <c r="AD136" i="32"/>
  <c r="AF138" i="32"/>
  <c r="AD141" i="32"/>
  <c r="AD135" i="32"/>
  <c r="AD140" i="32"/>
  <c r="AF139" i="32"/>
  <c r="AE138" i="32"/>
  <c r="AE136" i="32"/>
  <c r="AF137" i="32"/>
  <c r="AF141" i="32"/>
  <c r="AD137" i="32"/>
  <c r="AE137" i="32"/>
  <c r="AF136" i="32"/>
  <c r="AE139" i="32"/>
  <c r="AD138" i="32"/>
  <c r="AE141" i="32"/>
  <c r="AF135" i="32"/>
  <c r="AD139" i="32"/>
  <c r="AF140" i="32"/>
  <c r="AK142" i="32"/>
  <c r="AL142" i="32"/>
  <c r="AN142" i="32"/>
  <c r="AM142" i="32"/>
  <c r="AK140" i="32"/>
  <c r="AK137" i="32"/>
  <c r="AK139" i="32"/>
  <c r="AK135" i="32"/>
  <c r="AK138" i="32"/>
  <c r="AK141" i="32"/>
  <c r="AK136" i="32"/>
  <c r="AL140" i="32"/>
  <c r="AM136" i="32"/>
  <c r="AN137" i="32"/>
  <c r="AM141" i="32"/>
  <c r="AM137" i="32"/>
  <c r="AN140" i="32"/>
  <c r="AN141" i="32"/>
  <c r="AM139" i="32"/>
  <c r="AN136" i="32"/>
  <c r="AL136" i="32"/>
  <c r="AL139" i="32"/>
  <c r="AL141" i="32"/>
  <c r="AN139" i="32"/>
  <c r="AM140" i="32"/>
  <c r="AL138" i="32"/>
  <c r="AL135" i="32"/>
  <c r="AL137" i="32"/>
  <c r="AN135" i="32"/>
  <c r="AM138" i="32"/>
  <c r="AN138" i="32"/>
  <c r="U126" i="30"/>
  <c r="U133" i="30"/>
  <c r="AC133" i="30"/>
  <c r="AC126" i="30"/>
  <c r="AK133" i="30"/>
  <c r="AK126" i="30"/>
  <c r="M133" i="30"/>
  <c r="M127" i="30"/>
  <c r="E140" i="30" s="1"/>
  <c r="E285" i="30" s="1"/>
  <c r="M129" i="30"/>
  <c r="E142" i="30" s="1"/>
  <c r="E287" i="30" s="1"/>
  <c r="M130" i="30"/>
  <c r="E143" i="30" s="1"/>
  <c r="E288" i="30" s="1"/>
  <c r="M128" i="30"/>
  <c r="E141" i="30" s="1"/>
  <c r="E286" i="30" s="1"/>
  <c r="M132" i="30"/>
  <c r="E145" i="30" s="1"/>
  <c r="E290" i="30" s="1"/>
  <c r="M131" i="30"/>
  <c r="E144" i="30" s="1"/>
  <c r="E289" i="30" s="1"/>
  <c r="E274" i="30" l="1"/>
  <c r="E273" i="30"/>
  <c r="E278" i="30"/>
  <c r="E276" i="30"/>
  <c r="E275" i="30"/>
  <c r="E277" i="30"/>
  <c r="F149" i="32"/>
  <c r="F294" i="32" s="1"/>
  <c r="F153" i="32"/>
  <c r="F298" i="32" s="1"/>
  <c r="F151" i="32"/>
  <c r="F296" i="32" s="1"/>
  <c r="H149" i="32"/>
  <c r="H294" i="32" s="1"/>
  <c r="F148" i="32"/>
  <c r="F293" i="32" s="1"/>
  <c r="G155" i="32"/>
  <c r="G300" i="32" s="1"/>
  <c r="G154" i="32"/>
  <c r="G299" i="32" s="1"/>
  <c r="F155" i="32"/>
  <c r="F300" i="32" s="1"/>
  <c r="E152" i="32"/>
  <c r="E297" i="32" s="1"/>
  <c r="H150" i="32"/>
  <c r="H295" i="32" s="1"/>
  <c r="F152" i="32"/>
  <c r="F297" i="32" s="1"/>
  <c r="E148" i="32"/>
  <c r="E293" i="32" s="1"/>
  <c r="G153" i="32"/>
  <c r="G298" i="32" s="1"/>
  <c r="E151" i="32"/>
  <c r="E296" i="32" s="1"/>
  <c r="G149" i="32"/>
  <c r="G294" i="32" s="1"/>
  <c r="E149" i="32"/>
  <c r="E294" i="32" s="1"/>
  <c r="F154" i="32"/>
  <c r="F299" i="32" s="1"/>
  <c r="E154" i="32"/>
  <c r="E299" i="32" s="1"/>
  <c r="F150" i="32"/>
  <c r="F295" i="32" s="1"/>
  <c r="G151" i="32"/>
  <c r="G296" i="32" s="1"/>
  <c r="G150" i="32"/>
  <c r="G295" i="32" s="1"/>
  <c r="H152" i="32"/>
  <c r="H297" i="32" s="1"/>
  <c r="H151" i="32"/>
  <c r="H296" i="32" s="1"/>
  <c r="H154" i="32"/>
  <c r="H299" i="32" s="1"/>
  <c r="E155" i="32"/>
  <c r="E300" i="32" s="1"/>
  <c r="H153" i="32"/>
  <c r="H298" i="32" s="1"/>
  <c r="E150" i="32"/>
  <c r="E295" i="32" s="1"/>
  <c r="H148" i="32"/>
  <c r="H293" i="32" s="1"/>
  <c r="E153" i="32"/>
  <c r="E298" i="32" s="1"/>
  <c r="G152" i="32"/>
  <c r="G297" i="32" s="1"/>
  <c r="H155" i="32"/>
  <c r="H300" i="32" s="1"/>
  <c r="E139" i="30"/>
  <c r="E146" i="30"/>
  <c r="E291" i="30" s="1"/>
  <c r="E284" i="30" l="1"/>
  <c r="E272" i="30"/>
  <c r="E281" i="32"/>
  <c r="F282" i="32"/>
  <c r="H281" i="32"/>
  <c r="H283" i="32"/>
  <c r="E283" i="32"/>
  <c r="E282" i="32"/>
  <c r="F281" i="32"/>
  <c r="G283" i="32"/>
  <c r="F283" i="32"/>
  <c r="G282" i="32"/>
  <c r="H282" i="32"/>
  <c r="G284" i="32"/>
  <c r="H288" i="32"/>
  <c r="E286" i="32"/>
  <c r="F286" i="32"/>
  <c r="E284" i="32"/>
  <c r="G285" i="32"/>
  <c r="G288" i="32"/>
  <c r="F287" i="32"/>
  <c r="E288" i="32"/>
  <c r="G287" i="32"/>
  <c r="H286" i="32"/>
  <c r="F288" i="32"/>
  <c r="H287" i="32"/>
  <c r="E287" i="32"/>
  <c r="F284" i="32"/>
  <c r="G286" i="32"/>
  <c r="F285" i="32"/>
  <c r="H284" i="32"/>
  <c r="H285" i="32"/>
  <c r="E285" i="32"/>
  <c r="E279" i="30"/>
  <c r="F128" i="29" l="1"/>
  <c r="G121" i="29"/>
  <c r="H128" i="29"/>
  <c r="F131" i="29"/>
  <c r="G131" i="29" s="1"/>
  <c r="H131" i="29" s="1"/>
  <c r="F133" i="29"/>
  <c r="G133" i="29"/>
  <c r="H133" i="29"/>
  <c r="O135" i="29"/>
  <c r="F137" i="29"/>
  <c r="G137" i="29"/>
  <c r="H137" i="29"/>
  <c r="S137" i="29"/>
  <c r="F139" i="29"/>
  <c r="G139" i="29"/>
  <c r="H139" i="29"/>
  <c r="G106" i="29"/>
  <c r="G72" i="29"/>
  <c r="G27" i="29"/>
  <c r="F129" i="29" l="1"/>
  <c r="G129" i="29" s="1"/>
  <c r="H129" i="29" s="1"/>
  <c r="E135" i="29"/>
  <c r="E82" i="29"/>
  <c r="E46" i="34"/>
  <c r="E54" i="29"/>
  <c r="H55" i="29"/>
  <c r="H46" i="34" s="1"/>
  <c r="G55" i="29"/>
  <c r="G46" i="34" s="1"/>
  <c r="F55" i="29"/>
  <c r="F46" i="34" s="1"/>
  <c r="H46" i="29"/>
  <c r="H36" i="34" s="1"/>
  <c r="G46" i="29"/>
  <c r="G36" i="34" s="1"/>
  <c r="F46" i="29"/>
  <c r="F36" i="34" s="1"/>
  <c r="F49" i="29"/>
  <c r="F40" i="34" s="1"/>
  <c r="G49" i="29"/>
  <c r="G40" i="34" s="1"/>
  <c r="F50" i="29"/>
  <c r="F41" i="34" s="1"/>
  <c r="G50" i="29"/>
  <c r="G41" i="34" s="1"/>
  <c r="F51" i="29"/>
  <c r="G51" i="29"/>
  <c r="F52" i="29"/>
  <c r="F43" i="34" s="1"/>
  <c r="G52" i="29"/>
  <c r="G43" i="34" s="1"/>
  <c r="F53" i="29"/>
  <c r="F44" i="34" s="1"/>
  <c r="G53" i="29"/>
  <c r="G44" i="34" s="1"/>
  <c r="F54" i="29"/>
  <c r="G54" i="29"/>
  <c r="E49" i="29"/>
  <c r="E50" i="29"/>
  <c r="E41" i="34" s="1"/>
  <c r="E51" i="29"/>
  <c r="E42" i="34" s="1"/>
  <c r="E52" i="29"/>
  <c r="E43" i="34" s="1"/>
  <c r="E53" i="29"/>
  <c r="E44" i="34" s="1"/>
  <c r="E42" i="32"/>
  <c r="G38" i="29"/>
  <c r="G28" i="34" s="1"/>
  <c r="H49" i="29"/>
  <c r="H40" i="34" s="1"/>
  <c r="H50" i="29"/>
  <c r="H41" i="34" s="1"/>
  <c r="H51" i="29"/>
  <c r="H52" i="29"/>
  <c r="H43" i="34" s="1"/>
  <c r="H53" i="29"/>
  <c r="H44" i="34" s="1"/>
  <c r="H54" i="29"/>
  <c r="F59" i="29"/>
  <c r="G59" i="29"/>
  <c r="H59" i="29"/>
  <c r="H16" i="29"/>
  <c r="F24" i="29"/>
  <c r="G24" i="29"/>
  <c r="H24" i="29"/>
  <c r="H126" i="29" s="1"/>
  <c r="E33" i="35" l="1"/>
  <c r="E18" i="44" s="1"/>
  <c r="H177" i="34"/>
  <c r="H178" i="34" s="1"/>
  <c r="G169" i="34"/>
  <c r="G177" i="34"/>
  <c r="F177" i="34"/>
  <c r="F178" i="34" s="1"/>
  <c r="AN128" i="34"/>
  <c r="AN139" i="34" s="1"/>
  <c r="P128" i="34"/>
  <c r="X128" i="34"/>
  <c r="X139" i="34" s="1"/>
  <c r="AF128" i="34"/>
  <c r="AF139" i="34" s="1"/>
  <c r="O128" i="34"/>
  <c r="AE128" i="34"/>
  <c r="AE139" i="34" s="1"/>
  <c r="AM128" i="34"/>
  <c r="AM139" i="34" s="1"/>
  <c r="W128" i="34"/>
  <c r="W139" i="34" s="1"/>
  <c r="G120" i="34"/>
  <c r="G72" i="34"/>
  <c r="AE120" i="34"/>
  <c r="AE131" i="34" s="1"/>
  <c r="AM120" i="34"/>
  <c r="AM131" i="34" s="1"/>
  <c r="W120" i="34"/>
  <c r="W131" i="34" s="1"/>
  <c r="O120" i="34"/>
  <c r="AD128" i="34"/>
  <c r="AD139" i="34" s="1"/>
  <c r="AL128" i="34"/>
  <c r="AL139" i="34" s="1"/>
  <c r="V128" i="34"/>
  <c r="V139" i="34" s="1"/>
  <c r="N128" i="34"/>
  <c r="E197" i="44"/>
  <c r="G40" i="35"/>
  <c r="G42" i="35" s="1"/>
  <c r="G47" i="35" s="1"/>
  <c r="G52" i="35" s="1"/>
  <c r="G62" i="35" s="1"/>
  <c r="G126" i="29"/>
  <c r="F84" i="29"/>
  <c r="F86" i="29" s="1"/>
  <c r="H84" i="29"/>
  <c r="H86" i="29" s="1"/>
  <c r="E84" i="29"/>
  <c r="E86" i="29" s="1"/>
  <c r="E102" i="29" s="1"/>
  <c r="E117" i="29" s="1"/>
  <c r="G84" i="29"/>
  <c r="G86" i="29" s="1"/>
  <c r="E83" i="29"/>
  <c r="F40" i="35"/>
  <c r="F42" i="35" s="1"/>
  <c r="F47" i="35" s="1"/>
  <c r="F52" i="35" s="1"/>
  <c r="H40" i="35"/>
  <c r="H42" i="35" s="1"/>
  <c r="H47" i="35" s="1"/>
  <c r="H52" i="35" s="1"/>
  <c r="G128" i="34"/>
  <c r="H128" i="34"/>
  <c r="F128" i="34"/>
  <c r="E40" i="34"/>
  <c r="G8" i="35"/>
  <c r="G48" i="32"/>
  <c r="G45" i="34"/>
  <c r="H48" i="32"/>
  <c r="H45" i="34"/>
  <c r="E48" i="32"/>
  <c r="E45" i="34"/>
  <c r="F48" i="32"/>
  <c r="F45" i="34"/>
  <c r="E39" i="32"/>
  <c r="E36" i="34"/>
  <c r="E177" i="34" s="1"/>
  <c r="E178" i="34" s="1"/>
  <c r="H45" i="32"/>
  <c r="H42" i="34"/>
  <c r="G45" i="32"/>
  <c r="G42" i="34"/>
  <c r="F45" i="32"/>
  <c r="F42" i="34"/>
  <c r="E36" i="31"/>
  <c r="E44" i="32"/>
  <c r="G153" i="29"/>
  <c r="G77" i="34" s="1"/>
  <c r="G103" i="34" s="1"/>
  <c r="G47" i="32"/>
  <c r="F56" i="29"/>
  <c r="F156" i="29" s="1"/>
  <c r="F39" i="32"/>
  <c r="G149" i="29"/>
  <c r="G73" i="34" s="1"/>
  <c r="G99" i="34" s="1"/>
  <c r="G43" i="32"/>
  <c r="G31" i="32"/>
  <c r="F153" i="29"/>
  <c r="F77" i="34" s="1"/>
  <c r="F103" i="34" s="1"/>
  <c r="F47" i="32"/>
  <c r="G56" i="29"/>
  <c r="G156" i="29" s="1"/>
  <c r="G39" i="32"/>
  <c r="H153" i="29"/>
  <c r="H77" i="34" s="1"/>
  <c r="H103" i="34" s="1"/>
  <c r="H47" i="32"/>
  <c r="G152" i="29"/>
  <c r="G76" i="34" s="1"/>
  <c r="G102" i="34" s="1"/>
  <c r="G46" i="32"/>
  <c r="H56" i="29"/>
  <c r="H156" i="29" s="1"/>
  <c r="H39" i="32"/>
  <c r="F149" i="29"/>
  <c r="F73" i="34" s="1"/>
  <c r="F99" i="34" s="1"/>
  <c r="F43" i="32"/>
  <c r="H152" i="29"/>
  <c r="H76" i="34" s="1"/>
  <c r="H102" i="34" s="1"/>
  <c r="H46" i="32"/>
  <c r="F152" i="29"/>
  <c r="F76" i="34" s="1"/>
  <c r="F102" i="34" s="1"/>
  <c r="F46" i="32"/>
  <c r="F155" i="29"/>
  <c r="F79" i="34" s="1"/>
  <c r="F105" i="34" s="1"/>
  <c r="E37" i="31"/>
  <c r="E45" i="32"/>
  <c r="H155" i="29"/>
  <c r="H79" i="34" s="1"/>
  <c r="H105" i="34" s="1"/>
  <c r="F150" i="29"/>
  <c r="F74" i="34" s="1"/>
  <c r="F100" i="34" s="1"/>
  <c r="F44" i="32"/>
  <c r="E41" i="31"/>
  <c r="E35" i="31"/>
  <c r="E43" i="32"/>
  <c r="G155" i="29"/>
  <c r="G79" i="34" s="1"/>
  <c r="G105" i="34" s="1"/>
  <c r="H150" i="29"/>
  <c r="H74" i="34" s="1"/>
  <c r="H100" i="34" s="1"/>
  <c r="H44" i="32"/>
  <c r="E39" i="31"/>
  <c r="E47" i="32"/>
  <c r="H149" i="29"/>
  <c r="H73" i="34" s="1"/>
  <c r="H99" i="34" s="1"/>
  <c r="H43" i="32"/>
  <c r="E38" i="31"/>
  <c r="E46" i="32"/>
  <c r="G150" i="29"/>
  <c r="G74" i="34" s="1"/>
  <c r="G100" i="34" s="1"/>
  <c r="G44" i="32"/>
  <c r="E31" i="31"/>
  <c r="E34" i="30"/>
  <c r="E37" i="30"/>
  <c r="E43" i="30"/>
  <c r="E40" i="31"/>
  <c r="F126" i="29"/>
  <c r="E39" i="30"/>
  <c r="E150" i="29"/>
  <c r="E74" i="34" s="1"/>
  <c r="E100" i="34" s="1"/>
  <c r="E44" i="30"/>
  <c r="E155" i="29"/>
  <c r="E79" i="34" s="1"/>
  <c r="E105" i="34" s="1"/>
  <c r="E41" i="30"/>
  <c r="E152" i="29"/>
  <c r="E76" i="34" s="1"/>
  <c r="E102" i="34" s="1"/>
  <c r="E40" i="30"/>
  <c r="E151" i="29"/>
  <c r="E75" i="34" s="1"/>
  <c r="E101" i="34" s="1"/>
  <c r="E38" i="30"/>
  <c r="E42" i="30"/>
  <c r="E153" i="29"/>
  <c r="E77" i="34" s="1"/>
  <c r="E103" i="34" s="1"/>
  <c r="F135" i="29"/>
  <c r="F151" i="29" s="1"/>
  <c r="E56" i="29"/>
  <c r="E156" i="29" s="1"/>
  <c r="G54" i="30"/>
  <c r="G52" i="30"/>
  <c r="G21" i="30"/>
  <c r="G23" i="30" s="1"/>
  <c r="H54" i="30"/>
  <c r="H52" i="30"/>
  <c r="H21" i="30"/>
  <c r="H23" i="30" s="1"/>
  <c r="F21" i="30"/>
  <c r="F23" i="30" s="1"/>
  <c r="F54" i="30"/>
  <c r="F52" i="30"/>
  <c r="G19" i="29"/>
  <c r="G12" i="31" s="1"/>
  <c r="G14" i="31" s="1"/>
  <c r="G15" i="31" s="1"/>
  <c r="G16" i="31" s="1"/>
  <c r="G18" i="31" s="1"/>
  <c r="F19" i="29"/>
  <c r="F12" i="31" s="1"/>
  <c r="F14" i="31" s="1"/>
  <c r="F15" i="31" s="1"/>
  <c r="F16" i="31" s="1"/>
  <c r="F18" i="31" s="1"/>
  <c r="H19" i="29"/>
  <c r="H12" i="31" s="1"/>
  <c r="H14" i="31" s="1"/>
  <c r="H15" i="31" s="1"/>
  <c r="H16" i="31" s="1"/>
  <c r="H18" i="31" s="1"/>
  <c r="H48" i="29"/>
  <c r="G48" i="29"/>
  <c r="G33" i="35" s="1"/>
  <c r="F48" i="29"/>
  <c r="H148" i="29" l="1"/>
  <c r="H33" i="35"/>
  <c r="F33" i="35"/>
  <c r="F18" i="44" s="1"/>
  <c r="AK152" i="44"/>
  <c r="AK160" i="44" s="1"/>
  <c r="AC152" i="44"/>
  <c r="AC160" i="44" s="1"/>
  <c r="U152" i="44"/>
  <c r="U160" i="44" s="1"/>
  <c r="M152" i="44"/>
  <c r="H20" i="31"/>
  <c r="H23" i="31" s="1"/>
  <c r="G20" i="31"/>
  <c r="G25" i="31" s="1"/>
  <c r="F20" i="31"/>
  <c r="F30" i="31" s="1"/>
  <c r="G261" i="34"/>
  <c r="E191" i="31"/>
  <c r="E192" i="31" s="1"/>
  <c r="G253" i="34"/>
  <c r="H261" i="34"/>
  <c r="H262" i="34" s="1"/>
  <c r="G185" i="32"/>
  <c r="H193" i="32"/>
  <c r="H194" i="32" s="1"/>
  <c r="F193" i="32"/>
  <c r="F194" i="32" s="1"/>
  <c r="F213" i="34"/>
  <c r="F214" i="34" s="1"/>
  <c r="F201" i="34"/>
  <c r="F202" i="34" s="1"/>
  <c r="G193" i="34"/>
  <c r="G205" i="34"/>
  <c r="E193" i="32"/>
  <c r="E194" i="32" s="1"/>
  <c r="H213" i="34"/>
  <c r="H214" i="34" s="1"/>
  <c r="H201" i="34"/>
  <c r="H202" i="34" s="1"/>
  <c r="H139" i="34"/>
  <c r="H237" i="34" s="1"/>
  <c r="J36" i="34"/>
  <c r="E184" i="30"/>
  <c r="E185" i="30" s="1"/>
  <c r="G213" i="34"/>
  <c r="G201" i="34"/>
  <c r="G178" i="34"/>
  <c r="F261" i="34"/>
  <c r="F262" i="34" s="1"/>
  <c r="G193" i="32"/>
  <c r="J39" i="32"/>
  <c r="AK126" i="31"/>
  <c r="AK137" i="31" s="1"/>
  <c r="AC126" i="31"/>
  <c r="G132" i="32"/>
  <c r="O132" i="32"/>
  <c r="AE132" i="32"/>
  <c r="AE143" i="32" s="1"/>
  <c r="W132" i="32"/>
  <c r="W143" i="32" s="1"/>
  <c r="AM132" i="32"/>
  <c r="AM143" i="32" s="1"/>
  <c r="AC129" i="31"/>
  <c r="AK129" i="31"/>
  <c r="AK140" i="31" s="1"/>
  <c r="AC128" i="34"/>
  <c r="AC139" i="34" s="1"/>
  <c r="AK128" i="34"/>
  <c r="AK139" i="34" s="1"/>
  <c r="U128" i="34"/>
  <c r="U139" i="34" s="1"/>
  <c r="M128" i="34"/>
  <c r="E75" i="31"/>
  <c r="G249" i="34"/>
  <c r="O139" i="34"/>
  <c r="G152" i="34" s="1"/>
  <c r="G285" i="34" s="1"/>
  <c r="E132" i="32"/>
  <c r="AK132" i="32"/>
  <c r="AK143" i="32" s="1"/>
  <c r="U132" i="32"/>
  <c r="U143" i="32" s="1"/>
  <c r="M132" i="32"/>
  <c r="AC132" i="32"/>
  <c r="AC143" i="32" s="1"/>
  <c r="G131" i="34"/>
  <c r="G229" i="34" s="1"/>
  <c r="F249" i="34"/>
  <c r="F250" i="34" s="1"/>
  <c r="N139" i="34"/>
  <c r="F152" i="34" s="1"/>
  <c r="G241" i="34"/>
  <c r="O131" i="34"/>
  <c r="G144" i="34" s="1"/>
  <c r="G277" i="34" s="1"/>
  <c r="AC127" i="31"/>
  <c r="AK127" i="31"/>
  <c r="AK138" i="31" s="1"/>
  <c r="AC125" i="31"/>
  <c r="AK125" i="31"/>
  <c r="AK136" i="31" s="1"/>
  <c r="AK128" i="31"/>
  <c r="AK139" i="31" s="1"/>
  <c r="AC128" i="31"/>
  <c r="G124" i="32"/>
  <c r="G76" i="32"/>
  <c r="W124" i="32"/>
  <c r="W135" i="32" s="1"/>
  <c r="O124" i="32"/>
  <c r="AE124" i="32"/>
  <c r="AE135" i="32" s="1"/>
  <c r="AM124" i="32"/>
  <c r="AM135" i="32" s="1"/>
  <c r="AK123" i="30"/>
  <c r="AK134" i="30" s="1"/>
  <c r="U123" i="30"/>
  <c r="U134" i="30" s="1"/>
  <c r="AC123" i="30"/>
  <c r="AC134" i="30" s="1"/>
  <c r="AC124" i="31"/>
  <c r="AK124" i="31"/>
  <c r="AK135" i="31" s="1"/>
  <c r="H132" i="32"/>
  <c r="AN132" i="32"/>
  <c r="AN143" i="32" s="1"/>
  <c r="P132" i="32"/>
  <c r="X132" i="32"/>
  <c r="X143" i="32" s="1"/>
  <c r="AF132" i="32"/>
  <c r="AF143" i="32" s="1"/>
  <c r="F132" i="32"/>
  <c r="N132" i="32"/>
  <c r="AL132" i="32"/>
  <c r="AL143" i="32" s="1"/>
  <c r="V132" i="32"/>
  <c r="V143" i="32" s="1"/>
  <c r="AD132" i="32"/>
  <c r="AD143" i="32" s="1"/>
  <c r="E130" i="31"/>
  <c r="M130" i="31"/>
  <c r="U130" i="31"/>
  <c r="U141" i="31" s="1"/>
  <c r="AK130" i="31"/>
  <c r="AK141" i="31" s="1"/>
  <c r="AC130" i="31"/>
  <c r="AC141" i="31" s="1"/>
  <c r="H249" i="34"/>
  <c r="H250" i="34" s="1"/>
  <c r="P139" i="34"/>
  <c r="H152" i="34" s="1"/>
  <c r="E123" i="30"/>
  <c r="M123" i="30"/>
  <c r="F12" i="48"/>
  <c r="H12" i="47"/>
  <c r="E12" i="48"/>
  <c r="G12" i="48"/>
  <c r="F12" i="47"/>
  <c r="E12" i="47"/>
  <c r="H12" i="48"/>
  <c r="G12" i="47"/>
  <c r="E12" i="50"/>
  <c r="F12" i="50"/>
  <c r="G12" i="50"/>
  <c r="H12" i="50"/>
  <c r="G12" i="49"/>
  <c r="F12" i="49"/>
  <c r="E12" i="49"/>
  <c r="H12" i="49"/>
  <c r="E12" i="45"/>
  <c r="F87" i="29"/>
  <c r="F28" i="33"/>
  <c r="G28" i="33"/>
  <c r="G87" i="29"/>
  <c r="E93" i="29"/>
  <c r="E87" i="29"/>
  <c r="H28" i="33"/>
  <c r="H87" i="29"/>
  <c r="G102" i="29"/>
  <c r="G93" i="29"/>
  <c r="H102" i="29"/>
  <c r="H93" i="29"/>
  <c r="F102" i="29"/>
  <c r="F93" i="29"/>
  <c r="F95" i="29" s="1"/>
  <c r="G53" i="35"/>
  <c r="G148" i="29"/>
  <c r="G12" i="45"/>
  <c r="F12" i="45"/>
  <c r="H12" i="45"/>
  <c r="F148" i="29"/>
  <c r="G16" i="43"/>
  <c r="H53" i="35"/>
  <c r="H62" i="35"/>
  <c r="F53" i="35"/>
  <c r="F62" i="35"/>
  <c r="E87" i="32"/>
  <c r="E197" i="32" s="1"/>
  <c r="E102" i="32"/>
  <c r="E152" i="44"/>
  <c r="E116" i="44"/>
  <c r="G83" i="35"/>
  <c r="G14" i="43"/>
  <c r="G139" i="34"/>
  <c r="G237" i="34" s="1"/>
  <c r="F139" i="34"/>
  <c r="F237" i="34" s="1"/>
  <c r="E128" i="34"/>
  <c r="E73" i="34"/>
  <c r="H77" i="32"/>
  <c r="H103" i="32" s="1"/>
  <c r="F77" i="32"/>
  <c r="F103" i="32" s="1"/>
  <c r="G77" i="32"/>
  <c r="G103" i="32" s="1"/>
  <c r="H80" i="32"/>
  <c r="H106" i="32" s="1"/>
  <c r="F81" i="32"/>
  <c r="F107" i="32" s="1"/>
  <c r="H78" i="32"/>
  <c r="E79" i="32"/>
  <c r="E105" i="32" s="1"/>
  <c r="F78" i="32"/>
  <c r="F104" i="32" s="1"/>
  <c r="G78" i="32"/>
  <c r="F80" i="32"/>
  <c r="F106" i="32" s="1"/>
  <c r="E78" i="32"/>
  <c r="E104" i="32" s="1"/>
  <c r="H47" i="34"/>
  <c r="H80" i="34" s="1"/>
  <c r="H106" i="34" s="1"/>
  <c r="E77" i="32"/>
  <c r="E103" i="32" s="1"/>
  <c r="E47" i="34"/>
  <c r="H39" i="34"/>
  <c r="H18" i="44"/>
  <c r="H197" i="44" s="1"/>
  <c r="E81" i="32"/>
  <c r="E107" i="32" s="1"/>
  <c r="G80" i="32"/>
  <c r="G47" i="34"/>
  <c r="G80" i="34" s="1"/>
  <c r="G106" i="34" s="1"/>
  <c r="G18" i="44"/>
  <c r="G197" i="44" s="1"/>
  <c r="H8" i="35"/>
  <c r="E88" i="34"/>
  <c r="E186" i="34" s="1"/>
  <c r="J103" i="34"/>
  <c r="L99" i="34"/>
  <c r="G84" i="34"/>
  <c r="G182" i="34" s="1"/>
  <c r="K100" i="34"/>
  <c r="F85" i="34"/>
  <c r="F183" i="34" s="1"/>
  <c r="L103" i="34"/>
  <c r="G88" i="34"/>
  <c r="G186" i="34" s="1"/>
  <c r="M103" i="34"/>
  <c r="H88" i="34"/>
  <c r="H186" i="34" s="1"/>
  <c r="M102" i="34"/>
  <c r="H87" i="34"/>
  <c r="H185" i="34" s="1"/>
  <c r="M99" i="34"/>
  <c r="H84" i="34"/>
  <c r="H182" i="34" s="1"/>
  <c r="E86" i="34"/>
  <c r="E184" i="34" s="1"/>
  <c r="J101" i="34"/>
  <c r="M100" i="34"/>
  <c r="H85" i="34"/>
  <c r="H183" i="34" s="1"/>
  <c r="L105" i="34"/>
  <c r="G90" i="34"/>
  <c r="G188" i="34" s="1"/>
  <c r="K105" i="34"/>
  <c r="F90" i="34"/>
  <c r="F188" i="34" s="1"/>
  <c r="E90" i="34"/>
  <c r="E188" i="34" s="1"/>
  <c r="J105" i="34"/>
  <c r="L100" i="34"/>
  <c r="G85" i="34"/>
  <c r="G183" i="34" s="1"/>
  <c r="K102" i="34"/>
  <c r="F87" i="34"/>
  <c r="F185" i="34" s="1"/>
  <c r="J100" i="34"/>
  <c r="E85" i="34"/>
  <c r="E183" i="34" s="1"/>
  <c r="K103" i="34"/>
  <c r="F88" i="34"/>
  <c r="F186" i="34" s="1"/>
  <c r="H81" i="32"/>
  <c r="G81" i="32"/>
  <c r="M105" i="34"/>
  <c r="H90" i="34"/>
  <c r="H188" i="34" s="1"/>
  <c r="K99" i="34"/>
  <c r="F84" i="34"/>
  <c r="F182" i="34" s="1"/>
  <c r="F75" i="34"/>
  <c r="F101" i="34" s="1"/>
  <c r="F47" i="34"/>
  <c r="F80" i="34" s="1"/>
  <c r="F106" i="34" s="1"/>
  <c r="F79" i="32"/>
  <c r="E80" i="32"/>
  <c r="E98" i="34"/>
  <c r="J102" i="34"/>
  <c r="E87" i="34"/>
  <c r="E185" i="34" s="1"/>
  <c r="L102" i="34"/>
  <c r="G87" i="34"/>
  <c r="G185" i="34" s="1"/>
  <c r="F42" i="32"/>
  <c r="F39" i="34"/>
  <c r="G39" i="34"/>
  <c r="E28" i="33"/>
  <c r="E78" i="31"/>
  <c r="E76" i="31"/>
  <c r="F50" i="32"/>
  <c r="E79" i="31"/>
  <c r="E42" i="31"/>
  <c r="E81" i="31"/>
  <c r="G42" i="32"/>
  <c r="H42" i="32"/>
  <c r="E50" i="32"/>
  <c r="H50" i="32"/>
  <c r="H84" i="32" s="1"/>
  <c r="H110" i="32" s="1"/>
  <c r="E77" i="31"/>
  <c r="G50" i="32"/>
  <c r="G84" i="32" s="1"/>
  <c r="G110" i="32" s="1"/>
  <c r="H26" i="30"/>
  <c r="H29" i="30"/>
  <c r="H32" i="30"/>
  <c r="H27" i="30"/>
  <c r="H30" i="30"/>
  <c r="H33" i="30"/>
  <c r="H28" i="30"/>
  <c r="H31" i="30"/>
  <c r="H34" i="30"/>
  <c r="E100" i="31"/>
  <c r="F30" i="30"/>
  <c r="F27" i="30"/>
  <c r="F28" i="30"/>
  <c r="F31" i="30"/>
  <c r="F34" i="30"/>
  <c r="F26" i="30"/>
  <c r="F29" i="30"/>
  <c r="F32" i="30"/>
  <c r="F33" i="30"/>
  <c r="G32" i="30"/>
  <c r="G27" i="30"/>
  <c r="G30" i="30"/>
  <c r="G33" i="30"/>
  <c r="G28" i="30"/>
  <c r="G34" i="30"/>
  <c r="G31" i="30"/>
  <c r="G26" i="30"/>
  <c r="G29" i="30"/>
  <c r="E74" i="30"/>
  <c r="E68" i="30"/>
  <c r="E45" i="30"/>
  <c r="E72" i="30"/>
  <c r="E98" i="30" s="1"/>
  <c r="E70" i="30"/>
  <c r="E71" i="30"/>
  <c r="E97" i="30" s="1"/>
  <c r="E69" i="30"/>
  <c r="E95" i="30" s="1"/>
  <c r="F56" i="30"/>
  <c r="F57" i="30" s="1"/>
  <c r="H56" i="30"/>
  <c r="H57" i="30" s="1"/>
  <c r="G56" i="30"/>
  <c r="G135" i="29"/>
  <c r="G151" i="29" s="1"/>
  <c r="G79" i="32" s="1"/>
  <c r="G105" i="32" s="1"/>
  <c r="G30" i="31" l="1"/>
  <c r="O129" i="31" s="1"/>
  <c r="N152" i="44"/>
  <c r="N160" i="44" s="1"/>
  <c r="AL152" i="44"/>
  <c r="AL160" i="44" s="1"/>
  <c r="F116" i="44"/>
  <c r="F136" i="44" s="1"/>
  <c r="K136" i="44" s="1"/>
  <c r="AD152" i="44"/>
  <c r="AD160" i="44" s="1"/>
  <c r="V152" i="44"/>
  <c r="V160" i="44" s="1"/>
  <c r="F197" i="44"/>
  <c r="F152" i="44"/>
  <c r="F160" i="44" s="1"/>
  <c r="F229" i="44" s="1"/>
  <c r="F237" i="44" s="1"/>
  <c r="J18" i="44"/>
  <c r="H24" i="31"/>
  <c r="H184" i="31" s="1"/>
  <c r="F25" i="31"/>
  <c r="F185" i="31" s="1"/>
  <c r="F31" i="31"/>
  <c r="F191" i="31" s="1"/>
  <c r="F26" i="31"/>
  <c r="N125" i="31" s="1"/>
  <c r="G26" i="31"/>
  <c r="W125" i="31" s="1"/>
  <c r="W136" i="31" s="1"/>
  <c r="G29" i="31"/>
  <c r="W128" i="31" s="1"/>
  <c r="W139" i="31" s="1"/>
  <c r="G23" i="31"/>
  <c r="G74" i="31" s="1"/>
  <c r="G24" i="31"/>
  <c r="O123" i="31" s="1"/>
  <c r="F29" i="31"/>
  <c r="F40" i="31" s="1"/>
  <c r="E245" i="44"/>
  <c r="E253" i="44" s="1"/>
  <c r="M160" i="44"/>
  <c r="AN152" i="44"/>
  <c r="AN160" i="44" s="1"/>
  <c r="AF152" i="44"/>
  <c r="AF160" i="44" s="1"/>
  <c r="X152" i="44"/>
  <c r="X160" i="44" s="1"/>
  <c r="P152" i="44"/>
  <c r="AM152" i="44"/>
  <c r="AM160" i="44" s="1"/>
  <c r="W152" i="44"/>
  <c r="W160" i="44" s="1"/>
  <c r="AE152" i="44"/>
  <c r="AE160" i="44" s="1"/>
  <c r="O152" i="44"/>
  <c r="H166" i="30"/>
  <c r="H169" i="30"/>
  <c r="H165" i="30"/>
  <c r="H171" i="30"/>
  <c r="H172" i="30"/>
  <c r="H164" i="30"/>
  <c r="H167" i="30"/>
  <c r="H170" i="30"/>
  <c r="H168" i="30"/>
  <c r="F170" i="30"/>
  <c r="F166" i="30"/>
  <c r="F172" i="30"/>
  <c r="F171" i="30"/>
  <c r="F169" i="30"/>
  <c r="F167" i="30"/>
  <c r="F168" i="30"/>
  <c r="F165" i="30"/>
  <c r="F164" i="30"/>
  <c r="W106" i="43"/>
  <c r="W111" i="43" s="1"/>
  <c r="AM106" i="43"/>
  <c r="AM111" i="43" s="1"/>
  <c r="AE106" i="43"/>
  <c r="AE111" i="43" s="1"/>
  <c r="O106" i="43"/>
  <c r="G136" i="43"/>
  <c r="AM104" i="43"/>
  <c r="AM109" i="43" s="1"/>
  <c r="AE104" i="43"/>
  <c r="AE109" i="43" s="1"/>
  <c r="W104" i="43"/>
  <c r="W109" i="43" s="1"/>
  <c r="O104" i="43"/>
  <c r="G134" i="43"/>
  <c r="W110" i="35"/>
  <c r="W119" i="35" s="1"/>
  <c r="AM110" i="35"/>
  <c r="AM119" i="35" s="1"/>
  <c r="AE110" i="35"/>
  <c r="AE119" i="35" s="1"/>
  <c r="G151" i="35"/>
  <c r="H25" i="31"/>
  <c r="X124" i="31" s="1"/>
  <c r="X135" i="31" s="1"/>
  <c r="H26" i="31"/>
  <c r="H37" i="31" s="1"/>
  <c r="H29" i="31"/>
  <c r="P128" i="31" s="1"/>
  <c r="H31" i="31"/>
  <c r="H42" i="31" s="1"/>
  <c r="H82" i="31" s="1"/>
  <c r="H30" i="31"/>
  <c r="H190" i="31" s="1"/>
  <c r="H28" i="31"/>
  <c r="P127" i="31" s="1"/>
  <c r="H27" i="31"/>
  <c r="H187" i="31" s="1"/>
  <c r="G28" i="31"/>
  <c r="O127" i="31" s="1"/>
  <c r="G31" i="31"/>
  <c r="G191" i="31" s="1"/>
  <c r="G27" i="31"/>
  <c r="W126" i="31" s="1"/>
  <c r="W137" i="31" s="1"/>
  <c r="J178" i="34"/>
  <c r="P21" i="40" s="1"/>
  <c r="F24" i="31"/>
  <c r="N123" i="31" s="1"/>
  <c r="F27" i="31"/>
  <c r="N126" i="31" s="1"/>
  <c r="F23" i="31"/>
  <c r="F183" i="31" s="1"/>
  <c r="F28" i="31"/>
  <c r="F188" i="31" s="1"/>
  <c r="H285" i="34"/>
  <c r="H286" i="34" s="1"/>
  <c r="F285" i="34"/>
  <c r="F286" i="34" s="1"/>
  <c r="G262" i="34"/>
  <c r="E273" i="31"/>
  <c r="G202" i="34"/>
  <c r="H277" i="32"/>
  <c r="H278" i="32" s="1"/>
  <c r="G110" i="35"/>
  <c r="E272" i="31"/>
  <c r="E268" i="30"/>
  <c r="E269" i="30" s="1"/>
  <c r="F277" i="32"/>
  <c r="F278" i="32" s="1"/>
  <c r="H179" i="30"/>
  <c r="G179" i="30"/>
  <c r="H184" i="30"/>
  <c r="G180" i="30"/>
  <c r="H178" i="30"/>
  <c r="F113" i="34"/>
  <c r="K113" i="34" s="1"/>
  <c r="G116" i="34"/>
  <c r="L116" i="34" s="1"/>
  <c r="H113" i="34"/>
  <c r="M113" i="34" s="1"/>
  <c r="G110" i="34"/>
  <c r="L110" i="34" s="1"/>
  <c r="G265" i="34"/>
  <c r="G286" i="34"/>
  <c r="E271" i="31"/>
  <c r="H116" i="34"/>
  <c r="M116" i="34" s="1"/>
  <c r="E220" i="30"/>
  <c r="E221" i="30" s="1"/>
  <c r="E208" i="30"/>
  <c r="E209" i="30" s="1"/>
  <c r="F217" i="32"/>
  <c r="F218" i="32" s="1"/>
  <c r="F229" i="32"/>
  <c r="F230" i="32" s="1"/>
  <c r="E261" i="34"/>
  <c r="E262" i="34" s="1"/>
  <c r="H182" i="30"/>
  <c r="E213" i="34"/>
  <c r="E214" i="34" s="1"/>
  <c r="E201" i="34"/>
  <c r="E202" i="34" s="1"/>
  <c r="F238" i="34"/>
  <c r="F225" i="34"/>
  <c r="F226" i="34" s="1"/>
  <c r="G178" i="30"/>
  <c r="F110" i="34"/>
  <c r="K110" i="34" s="1"/>
  <c r="G177" i="30"/>
  <c r="H183" i="30"/>
  <c r="G182" i="30"/>
  <c r="H180" i="30"/>
  <c r="G269" i="32"/>
  <c r="G114" i="34"/>
  <c r="L114" i="34" s="1"/>
  <c r="F177" i="30"/>
  <c r="F183" i="30"/>
  <c r="H183" i="31"/>
  <c r="H177" i="30"/>
  <c r="E113" i="34"/>
  <c r="J113" i="34" s="1"/>
  <c r="G111" i="34"/>
  <c r="L111" i="34" s="1"/>
  <c r="H111" i="34"/>
  <c r="M111" i="34" s="1"/>
  <c r="H114" i="34"/>
  <c r="M114" i="34" s="1"/>
  <c r="F182" i="30"/>
  <c r="G190" i="31"/>
  <c r="F176" i="30"/>
  <c r="J34" i="30"/>
  <c r="F114" i="34"/>
  <c r="K114" i="34" s="1"/>
  <c r="H143" i="32"/>
  <c r="H253" i="32" s="1"/>
  <c r="H229" i="32"/>
  <c r="H230" i="32" s="1"/>
  <c r="H217" i="32"/>
  <c r="H218" i="32" s="1"/>
  <c r="E277" i="32"/>
  <c r="E278" i="32" s="1"/>
  <c r="G194" i="32"/>
  <c r="J194" i="32" s="1"/>
  <c r="P23" i="40" s="1"/>
  <c r="F190" i="31"/>
  <c r="F184" i="30"/>
  <c r="G181" i="30"/>
  <c r="F181" i="30"/>
  <c r="E116" i="34"/>
  <c r="J116" i="34" s="1"/>
  <c r="E112" i="34"/>
  <c r="J112" i="34" s="1"/>
  <c r="G225" i="34"/>
  <c r="E215" i="31"/>
  <c r="E216" i="31" s="1"/>
  <c r="E227" i="31"/>
  <c r="E228" i="31" s="1"/>
  <c r="E269" i="31"/>
  <c r="G185" i="31"/>
  <c r="H238" i="34"/>
  <c r="H225" i="34"/>
  <c r="H226" i="34" s="1"/>
  <c r="F179" i="30"/>
  <c r="E114" i="34"/>
  <c r="J114" i="34" s="1"/>
  <c r="H176" i="30"/>
  <c r="G176" i="30"/>
  <c r="E275" i="31"/>
  <c r="G184" i="30"/>
  <c r="F178" i="30"/>
  <c r="F116" i="34"/>
  <c r="K116" i="34" s="1"/>
  <c r="H110" i="34"/>
  <c r="M110" i="34" s="1"/>
  <c r="F111" i="34"/>
  <c r="K111" i="34" s="1"/>
  <c r="E270" i="31"/>
  <c r="E217" i="32"/>
  <c r="E218" i="32" s="1"/>
  <c r="E229" i="32"/>
  <c r="E230" i="32" s="1"/>
  <c r="G214" i="34"/>
  <c r="G221" i="32"/>
  <c r="G209" i="32"/>
  <c r="E274" i="31"/>
  <c r="G106" i="43"/>
  <c r="G277" i="32"/>
  <c r="G217" i="34"/>
  <c r="E111" i="34"/>
  <c r="J111" i="34" s="1"/>
  <c r="G183" i="30"/>
  <c r="F180" i="30"/>
  <c r="H181" i="30"/>
  <c r="G113" i="34"/>
  <c r="L113" i="34" s="1"/>
  <c r="G217" i="32"/>
  <c r="G229" i="32"/>
  <c r="G250" i="34"/>
  <c r="H273" i="34"/>
  <c r="H274" i="34" s="1"/>
  <c r="G273" i="34"/>
  <c r="F273" i="34"/>
  <c r="F274" i="34" s="1"/>
  <c r="E96" i="30"/>
  <c r="J96" i="30" s="1"/>
  <c r="G143" i="32"/>
  <c r="G253" i="32" s="1"/>
  <c r="G135" i="32"/>
  <c r="G245" i="32" s="1"/>
  <c r="V121" i="30"/>
  <c r="V132" i="30" s="1"/>
  <c r="AL121" i="30"/>
  <c r="AL132" i="30" s="1"/>
  <c r="AD121" i="30"/>
  <c r="AD132" i="30" s="1"/>
  <c r="AC135" i="31"/>
  <c r="E148" i="31" s="1"/>
  <c r="E257" i="31"/>
  <c r="AC138" i="31"/>
  <c r="E151" i="31" s="1"/>
  <c r="E260" i="31"/>
  <c r="AD118" i="30"/>
  <c r="AD129" i="30" s="1"/>
  <c r="V118" i="30"/>
  <c r="V129" i="30" s="1"/>
  <c r="AL118" i="30"/>
  <c r="AL129" i="30" s="1"/>
  <c r="E263" i="31"/>
  <c r="M141" i="31"/>
  <c r="E154" i="31" s="1"/>
  <c r="M139" i="34"/>
  <c r="E152" i="34" s="1"/>
  <c r="E249" i="34"/>
  <c r="E250" i="34" s="1"/>
  <c r="W124" i="31"/>
  <c r="W135" i="31" s="1"/>
  <c r="O124" i="31"/>
  <c r="F67" i="30"/>
  <c r="AL115" i="30"/>
  <c r="AL126" i="30" s="1"/>
  <c r="V115" i="30"/>
  <c r="V126" i="30" s="1"/>
  <c r="AD115" i="30"/>
  <c r="AD126" i="30" s="1"/>
  <c r="E141" i="31"/>
  <c r="E251" i="31" s="1"/>
  <c r="AN123" i="30"/>
  <c r="AN134" i="30" s="1"/>
  <c r="AF123" i="30"/>
  <c r="AF134" i="30" s="1"/>
  <c r="X123" i="30"/>
  <c r="X134" i="30" s="1"/>
  <c r="G67" i="30"/>
  <c r="AE115" i="30"/>
  <c r="AE126" i="30" s="1"/>
  <c r="W115" i="30"/>
  <c r="W126" i="30" s="1"/>
  <c r="AM115" i="30"/>
  <c r="AM126" i="30" s="1"/>
  <c r="AN120" i="30"/>
  <c r="AN131" i="30" s="1"/>
  <c r="AF120" i="30"/>
  <c r="AF131" i="30" s="1"/>
  <c r="X120" i="30"/>
  <c r="X131" i="30" s="1"/>
  <c r="F265" i="32"/>
  <c r="F266" i="32" s="1"/>
  <c r="N143" i="32"/>
  <c r="F156" i="32" s="1"/>
  <c r="G257" i="32"/>
  <c r="O135" i="32"/>
  <c r="G148" i="32" s="1"/>
  <c r="G293" i="32" s="1"/>
  <c r="AC140" i="31"/>
  <c r="E153" i="31" s="1"/>
  <c r="E262" i="31"/>
  <c r="V129" i="31"/>
  <c r="V140" i="31" s="1"/>
  <c r="N129" i="31"/>
  <c r="AM123" i="30"/>
  <c r="AM134" i="30" s="1"/>
  <c r="AE123" i="30"/>
  <c r="AE134" i="30" s="1"/>
  <c r="W123" i="30"/>
  <c r="W134" i="30" s="1"/>
  <c r="V119" i="30"/>
  <c r="V130" i="30" s="1"/>
  <c r="AD119" i="30"/>
  <c r="AD130" i="30" s="1"/>
  <c r="AL119" i="30"/>
  <c r="AL130" i="30" s="1"/>
  <c r="AN122" i="30"/>
  <c r="AN133" i="30" s="1"/>
  <c r="AF122" i="30"/>
  <c r="AF133" i="30" s="1"/>
  <c r="X122" i="30"/>
  <c r="X133" i="30" s="1"/>
  <c r="E143" i="32"/>
  <c r="E253" i="32" s="1"/>
  <c r="AM117" i="30"/>
  <c r="AM128" i="30" s="1"/>
  <c r="AE117" i="30"/>
  <c r="AE128" i="30" s="1"/>
  <c r="W117" i="30"/>
  <c r="W128" i="30" s="1"/>
  <c r="AF119" i="30"/>
  <c r="AF130" i="30" s="1"/>
  <c r="X119" i="30"/>
  <c r="X130" i="30" s="1"/>
  <c r="AN119" i="30"/>
  <c r="AN130" i="30" s="1"/>
  <c r="E265" i="32"/>
  <c r="E266" i="32" s="1"/>
  <c r="M143" i="32"/>
  <c r="E156" i="32" s="1"/>
  <c r="AE122" i="30"/>
  <c r="AE133" i="30" s="1"/>
  <c r="W122" i="30"/>
  <c r="W133" i="30" s="1"/>
  <c r="AM122" i="30"/>
  <c r="AM133" i="30" s="1"/>
  <c r="AF116" i="30"/>
  <c r="AF127" i="30" s="1"/>
  <c r="X116" i="30"/>
  <c r="X127" i="30" s="1"/>
  <c r="AN116" i="30"/>
  <c r="AN127" i="30" s="1"/>
  <c r="F143" i="32"/>
  <c r="F253" i="32" s="1"/>
  <c r="AM119" i="30"/>
  <c r="AM130" i="30" s="1"/>
  <c r="W119" i="30"/>
  <c r="W130" i="30" s="1"/>
  <c r="AE119" i="30"/>
  <c r="AE130" i="30" s="1"/>
  <c r="AF121" i="30"/>
  <c r="AF132" i="30" s="1"/>
  <c r="AN121" i="30"/>
  <c r="AN132" i="30" s="1"/>
  <c r="X121" i="30"/>
  <c r="X132" i="30" s="1"/>
  <c r="H265" i="32"/>
  <c r="H266" i="32" s="1"/>
  <c r="P143" i="32"/>
  <c r="H156" i="32" s="1"/>
  <c r="AC139" i="31"/>
  <c r="E152" i="31" s="1"/>
  <c r="E261" i="31"/>
  <c r="G265" i="32"/>
  <c r="O143" i="32"/>
  <c r="G156" i="32" s="1"/>
  <c r="G301" i="32" s="1"/>
  <c r="V123" i="30"/>
  <c r="V134" i="30" s="1"/>
  <c r="AD123" i="30"/>
  <c r="AD134" i="30" s="1"/>
  <c r="AL123" i="30"/>
  <c r="AL134" i="30" s="1"/>
  <c r="AE118" i="30"/>
  <c r="AE129" i="30" s="1"/>
  <c r="AM118" i="30"/>
  <c r="AM129" i="30" s="1"/>
  <c r="W118" i="30"/>
  <c r="W129" i="30" s="1"/>
  <c r="V120" i="30"/>
  <c r="V131" i="30" s="1"/>
  <c r="AD120" i="30"/>
  <c r="AD131" i="30" s="1"/>
  <c r="AL120" i="30"/>
  <c r="AL131" i="30" s="1"/>
  <c r="AD117" i="30"/>
  <c r="AD128" i="30" s="1"/>
  <c r="V117" i="30"/>
  <c r="V128" i="30" s="1"/>
  <c r="AL117" i="30"/>
  <c r="AL128" i="30" s="1"/>
  <c r="AM120" i="30"/>
  <c r="AM131" i="30" s="1"/>
  <c r="W120" i="30"/>
  <c r="W131" i="30" s="1"/>
  <c r="AE120" i="30"/>
  <c r="AE131" i="30" s="1"/>
  <c r="AL116" i="30"/>
  <c r="AL127" i="30" s="1"/>
  <c r="V116" i="30"/>
  <c r="V127" i="30" s="1"/>
  <c r="AD116" i="30"/>
  <c r="AD127" i="30" s="1"/>
  <c r="AN117" i="30"/>
  <c r="AN128" i="30" s="1"/>
  <c r="AF117" i="30"/>
  <c r="AF128" i="30" s="1"/>
  <c r="X117" i="30"/>
  <c r="X128" i="30" s="1"/>
  <c r="W116" i="30"/>
  <c r="W127" i="30" s="1"/>
  <c r="AM116" i="30"/>
  <c r="AM127" i="30" s="1"/>
  <c r="AE116" i="30"/>
  <c r="AE127" i="30" s="1"/>
  <c r="H74" i="31"/>
  <c r="P122" i="31"/>
  <c r="X122" i="31"/>
  <c r="X133" i="31" s="1"/>
  <c r="X118" i="30"/>
  <c r="X129" i="30" s="1"/>
  <c r="AF118" i="30"/>
  <c r="AF129" i="30" s="1"/>
  <c r="AN118" i="30"/>
  <c r="AN129" i="30" s="1"/>
  <c r="AM121" i="30"/>
  <c r="AM132" i="30" s="1"/>
  <c r="AE121" i="30"/>
  <c r="AE132" i="30" s="1"/>
  <c r="W121" i="30"/>
  <c r="W132" i="30" s="1"/>
  <c r="H67" i="30"/>
  <c r="H78" i="30" s="1"/>
  <c r="H188" i="30" s="1"/>
  <c r="AN115" i="30"/>
  <c r="AN126" i="30" s="1"/>
  <c r="X115" i="30"/>
  <c r="X126" i="30" s="1"/>
  <c r="AF115" i="30"/>
  <c r="AF126" i="30" s="1"/>
  <c r="AC137" i="31"/>
  <c r="E150" i="31" s="1"/>
  <c r="E259" i="31"/>
  <c r="V122" i="30"/>
  <c r="V133" i="30" s="1"/>
  <c r="AD122" i="30"/>
  <c r="AD133" i="30" s="1"/>
  <c r="AL122" i="30"/>
  <c r="AL133" i="30" s="1"/>
  <c r="AC136" i="31"/>
  <c r="E149" i="31" s="1"/>
  <c r="E258" i="31"/>
  <c r="E75" i="30"/>
  <c r="E86" i="30" s="1"/>
  <c r="E196" i="30" s="1"/>
  <c r="E134" i="30"/>
  <c r="E244" i="30" s="1"/>
  <c r="M134" i="30"/>
  <c r="E147" i="30" s="1"/>
  <c r="E256" i="30"/>
  <c r="E257" i="30" s="1"/>
  <c r="N120" i="30"/>
  <c r="P123" i="30"/>
  <c r="O119" i="30"/>
  <c r="O121" i="30"/>
  <c r="N122" i="30"/>
  <c r="N121" i="30"/>
  <c r="P121" i="30"/>
  <c r="O120" i="30"/>
  <c r="O117" i="30"/>
  <c r="P120" i="30"/>
  <c r="N118" i="30"/>
  <c r="P118" i="30"/>
  <c r="O123" i="30"/>
  <c r="N117" i="30"/>
  <c r="N116" i="30"/>
  <c r="O122" i="30"/>
  <c r="P122" i="30"/>
  <c r="O118" i="30"/>
  <c r="P115" i="30"/>
  <c r="N119" i="30"/>
  <c r="P117" i="30"/>
  <c r="O116" i="30"/>
  <c r="P119" i="30"/>
  <c r="P116" i="30"/>
  <c r="N115" i="30"/>
  <c r="O115" i="30"/>
  <c r="N123" i="30"/>
  <c r="E84" i="32"/>
  <c r="E110" i="32" s="1"/>
  <c r="J110" i="32" s="1"/>
  <c r="E28" i="50"/>
  <c r="H28" i="50"/>
  <c r="H28" i="49"/>
  <c r="G28" i="48"/>
  <c r="G28" i="50"/>
  <c r="G28" i="47"/>
  <c r="G110" i="47" s="1"/>
  <c r="E82" i="31"/>
  <c r="E28" i="49"/>
  <c r="E28" i="48"/>
  <c r="F21" i="50"/>
  <c r="F28" i="50"/>
  <c r="F28" i="49"/>
  <c r="F21" i="49"/>
  <c r="H28" i="47"/>
  <c r="H110" i="47" s="1"/>
  <c r="H28" i="48"/>
  <c r="E28" i="47"/>
  <c r="E110" i="47" s="1"/>
  <c r="F28" i="47"/>
  <c r="F110" i="47" s="1"/>
  <c r="F21" i="47"/>
  <c r="F103" i="47" s="1"/>
  <c r="G28" i="49"/>
  <c r="F28" i="48"/>
  <c r="F21" i="48"/>
  <c r="G46" i="45"/>
  <c r="G166" i="45" s="1"/>
  <c r="E46" i="45"/>
  <c r="E166" i="45" s="1"/>
  <c r="H46" i="45"/>
  <c r="H166" i="45" s="1"/>
  <c r="F46" i="45"/>
  <c r="F166" i="45" s="1"/>
  <c r="F39" i="45"/>
  <c r="F159" i="45" s="1"/>
  <c r="E103" i="29"/>
  <c r="E29" i="49" s="1"/>
  <c r="E95" i="29"/>
  <c r="E110" i="29" s="1"/>
  <c r="G82" i="43"/>
  <c r="E80" i="34"/>
  <c r="E106" i="34" s="1"/>
  <c r="J106" i="34" s="1"/>
  <c r="H16" i="43"/>
  <c r="F16" i="43"/>
  <c r="H116" i="44"/>
  <c r="H152" i="44"/>
  <c r="E79" i="30"/>
  <c r="E189" i="30" s="1"/>
  <c r="E94" i="30"/>
  <c r="J94" i="30" s="1"/>
  <c r="E88" i="31"/>
  <c r="E198" i="31" s="1"/>
  <c r="E103" i="31"/>
  <c r="J103" i="31" s="1"/>
  <c r="E85" i="30"/>
  <c r="E195" i="30" s="1"/>
  <c r="E100" i="30"/>
  <c r="G107" i="32"/>
  <c r="L107" i="32" s="1"/>
  <c r="E136" i="44"/>
  <c r="J136" i="44" s="1"/>
  <c r="E124" i="44"/>
  <c r="E205" i="44" s="1"/>
  <c r="J93" i="30"/>
  <c r="H107" i="32"/>
  <c r="M107" i="32" s="1"/>
  <c r="E160" i="44"/>
  <c r="E229" i="44" s="1"/>
  <c r="E237" i="44" s="1"/>
  <c r="E213" i="44"/>
  <c r="E221" i="44" s="1"/>
  <c r="H104" i="32"/>
  <c r="M104" i="32" s="1"/>
  <c r="E102" i="31"/>
  <c r="J102" i="31" s="1"/>
  <c r="E106" i="32"/>
  <c r="J106" i="32" s="1"/>
  <c r="E86" i="31"/>
  <c r="E196" i="31" s="1"/>
  <c r="E101" i="31"/>
  <c r="J101" i="31" s="1"/>
  <c r="F105" i="32"/>
  <c r="K105" i="32" s="1"/>
  <c r="G116" i="44"/>
  <c r="G136" i="44" s="1"/>
  <c r="G152" i="44"/>
  <c r="G104" i="32"/>
  <c r="L104" i="32" s="1"/>
  <c r="E113" i="32"/>
  <c r="G91" i="32"/>
  <c r="G201" i="32" s="1"/>
  <c r="G106" i="32"/>
  <c r="L106" i="32" s="1"/>
  <c r="E99" i="34"/>
  <c r="J99" i="34" s="1"/>
  <c r="E105" i="31"/>
  <c r="J105" i="31" s="1"/>
  <c r="E104" i="31"/>
  <c r="J104" i="31" s="1"/>
  <c r="E107" i="31"/>
  <c r="J107" i="31" s="1"/>
  <c r="G92" i="35"/>
  <c r="G80" i="43"/>
  <c r="G104" i="43"/>
  <c r="H83" i="35"/>
  <c r="H14" i="43"/>
  <c r="H102" i="32"/>
  <c r="M102" i="32" s="1"/>
  <c r="E84" i="34"/>
  <c r="E182" i="34" s="1"/>
  <c r="H89" i="32"/>
  <c r="H199" i="32" s="1"/>
  <c r="E139" i="34"/>
  <c r="E237" i="34" s="1"/>
  <c r="L106" i="34"/>
  <c r="G36" i="31"/>
  <c r="G124" i="31"/>
  <c r="G41" i="31"/>
  <c r="H34" i="31"/>
  <c r="H122" i="31"/>
  <c r="F41" i="31"/>
  <c r="F129" i="31"/>
  <c r="G39" i="30"/>
  <c r="G69" i="30" s="1"/>
  <c r="G80" i="30" s="1"/>
  <c r="G190" i="30" s="1"/>
  <c r="G117" i="30"/>
  <c r="F42" i="30"/>
  <c r="F72" i="30" s="1"/>
  <c r="F83" i="30" s="1"/>
  <c r="F193" i="30" s="1"/>
  <c r="F120" i="30"/>
  <c r="F39" i="30"/>
  <c r="F69" i="30" s="1"/>
  <c r="F80" i="30" s="1"/>
  <c r="F190" i="30" s="1"/>
  <c r="F117" i="30"/>
  <c r="G38" i="30"/>
  <c r="G68" i="30" s="1"/>
  <c r="G79" i="30" s="1"/>
  <c r="G189" i="30" s="1"/>
  <c r="G116" i="30"/>
  <c r="F44" i="30"/>
  <c r="F74" i="30" s="1"/>
  <c r="F85" i="30" s="1"/>
  <c r="F195" i="30" s="1"/>
  <c r="F122" i="30"/>
  <c r="H38" i="30"/>
  <c r="H68" i="30" s="1"/>
  <c r="H79" i="30" s="1"/>
  <c r="H189" i="30" s="1"/>
  <c r="H116" i="30"/>
  <c r="G42" i="30"/>
  <c r="G72" i="30" s="1"/>
  <c r="G83" i="30" s="1"/>
  <c r="G193" i="30" s="1"/>
  <c r="G120" i="30"/>
  <c r="H41" i="30"/>
  <c r="H71" i="30" s="1"/>
  <c r="H82" i="30" s="1"/>
  <c r="H192" i="30" s="1"/>
  <c r="H119" i="30"/>
  <c r="H43" i="30"/>
  <c r="H121" i="30"/>
  <c r="F40" i="30"/>
  <c r="F70" i="30" s="1"/>
  <c r="F81" i="30" s="1"/>
  <c r="F191" i="30" s="1"/>
  <c r="F118" i="30"/>
  <c r="H40" i="30"/>
  <c r="H118" i="30"/>
  <c r="G45" i="30"/>
  <c r="G75" i="30" s="1"/>
  <c r="G86" i="30" s="1"/>
  <c r="G196" i="30" s="1"/>
  <c r="G123" i="30"/>
  <c r="F38" i="30"/>
  <c r="F68" i="30" s="1"/>
  <c r="F79" i="30" s="1"/>
  <c r="F189" i="30" s="1"/>
  <c r="F116" i="30"/>
  <c r="H45" i="30"/>
  <c r="H75" i="30" s="1"/>
  <c r="H86" i="30" s="1"/>
  <c r="H196" i="30" s="1"/>
  <c r="H123" i="30"/>
  <c r="F41" i="30"/>
  <c r="F71" i="30" s="1"/>
  <c r="F82" i="30" s="1"/>
  <c r="F192" i="30" s="1"/>
  <c r="F119" i="30"/>
  <c r="G41" i="30"/>
  <c r="G71" i="30" s="1"/>
  <c r="G82" i="30" s="1"/>
  <c r="G192" i="30" s="1"/>
  <c r="G119" i="30"/>
  <c r="H44" i="30"/>
  <c r="H74" i="30" s="1"/>
  <c r="H85" i="30" s="1"/>
  <c r="H195" i="30" s="1"/>
  <c r="H122" i="30"/>
  <c r="G43" i="30"/>
  <c r="G121" i="30"/>
  <c r="F37" i="30"/>
  <c r="F115" i="30"/>
  <c r="H37" i="30"/>
  <c r="H115" i="30"/>
  <c r="G44" i="30"/>
  <c r="G74" i="30" s="1"/>
  <c r="G85" i="30" s="1"/>
  <c r="G195" i="30" s="1"/>
  <c r="G122" i="30"/>
  <c r="H42" i="30"/>
  <c r="H72" i="30" s="1"/>
  <c r="H83" i="30" s="1"/>
  <c r="H193" i="30" s="1"/>
  <c r="H120" i="30"/>
  <c r="H39" i="30"/>
  <c r="H69" i="30" s="1"/>
  <c r="H80" i="30" s="1"/>
  <c r="H190" i="30" s="1"/>
  <c r="H117" i="30"/>
  <c r="F43" i="30"/>
  <c r="F121" i="30"/>
  <c r="G40" i="30"/>
  <c r="G70" i="30" s="1"/>
  <c r="G81" i="30" s="1"/>
  <c r="G191" i="30" s="1"/>
  <c r="G118" i="30"/>
  <c r="G37" i="30"/>
  <c r="G115" i="30"/>
  <c r="F45" i="30"/>
  <c r="F75" i="30" s="1"/>
  <c r="F86" i="30" s="1"/>
  <c r="F196" i="30" s="1"/>
  <c r="F123" i="30"/>
  <c r="G89" i="32"/>
  <c r="G199" i="32" s="1"/>
  <c r="H91" i="34"/>
  <c r="H189" i="34" s="1"/>
  <c r="M106" i="34"/>
  <c r="G91" i="34"/>
  <c r="G189" i="34" s="1"/>
  <c r="F110" i="29"/>
  <c r="E89" i="31"/>
  <c r="E199" i="31" s="1"/>
  <c r="G75" i="34"/>
  <c r="G101" i="34" s="1"/>
  <c r="H92" i="32"/>
  <c r="H202" i="32" s="1"/>
  <c r="K106" i="34"/>
  <c r="F91" i="34"/>
  <c r="F189" i="34" s="1"/>
  <c r="K101" i="34"/>
  <c r="F86" i="34"/>
  <c r="F184" i="34" s="1"/>
  <c r="F98" i="34"/>
  <c r="F90" i="32"/>
  <c r="F200" i="32" s="1"/>
  <c r="J98" i="34"/>
  <c r="E109" i="34"/>
  <c r="F32" i="33"/>
  <c r="F186" i="33" s="1"/>
  <c r="F39" i="33"/>
  <c r="F193" i="33" s="1"/>
  <c r="F36" i="33"/>
  <c r="F190" i="33" s="1"/>
  <c r="F37" i="33"/>
  <c r="F191" i="33" s="1"/>
  <c r="F33" i="33"/>
  <c r="F187" i="33" s="1"/>
  <c r="F35" i="33"/>
  <c r="F189" i="33" s="1"/>
  <c r="F34" i="33"/>
  <c r="F188" i="33" s="1"/>
  <c r="F31" i="33"/>
  <c r="F185" i="33" s="1"/>
  <c r="E37" i="33"/>
  <c r="E191" i="33" s="1"/>
  <c r="E36" i="33"/>
  <c r="E190" i="33" s="1"/>
  <c r="E35" i="33"/>
  <c r="E189" i="33" s="1"/>
  <c r="E34" i="33"/>
  <c r="E188" i="33" s="1"/>
  <c r="E33" i="33"/>
  <c r="E187" i="33" s="1"/>
  <c r="E31" i="33"/>
  <c r="E39" i="33"/>
  <c r="E193" i="33" s="1"/>
  <c r="E32" i="33"/>
  <c r="E186" i="33" s="1"/>
  <c r="F84" i="32"/>
  <c r="E91" i="32"/>
  <c r="E201" i="32" s="1"/>
  <c r="E87" i="31"/>
  <c r="E197" i="31" s="1"/>
  <c r="E92" i="31"/>
  <c r="E202" i="31" s="1"/>
  <c r="G92" i="32"/>
  <c r="G202" i="32" s="1"/>
  <c r="J103" i="32"/>
  <c r="E88" i="32"/>
  <c r="E198" i="32" s="1"/>
  <c r="E90" i="31"/>
  <c r="E200" i="31" s="1"/>
  <c r="F92" i="32"/>
  <c r="F202" i="32" s="1"/>
  <c r="K107" i="32"/>
  <c r="L110" i="32"/>
  <c r="G95" i="32"/>
  <c r="G205" i="32" s="1"/>
  <c r="M106" i="32"/>
  <c r="H91" i="32"/>
  <c r="H201" i="32" s="1"/>
  <c r="K106" i="32"/>
  <c r="F91" i="32"/>
  <c r="F201" i="32" s="1"/>
  <c r="E89" i="32"/>
  <c r="E199" i="32" s="1"/>
  <c r="J104" i="32"/>
  <c r="F89" i="32"/>
  <c r="F199" i="32" s="1"/>
  <c r="K104" i="32"/>
  <c r="L103" i="32"/>
  <c r="G88" i="32"/>
  <c r="G198" i="32" s="1"/>
  <c r="J107" i="32"/>
  <c r="E92" i="32"/>
  <c r="E202" i="32" s="1"/>
  <c r="M103" i="32"/>
  <c r="H88" i="32"/>
  <c r="H198" i="32" s="1"/>
  <c r="M110" i="32"/>
  <c r="H95" i="32"/>
  <c r="H205" i="32" s="1"/>
  <c r="E90" i="32"/>
  <c r="E200" i="32" s="1"/>
  <c r="J105" i="32"/>
  <c r="K103" i="32"/>
  <c r="F88" i="32"/>
  <c r="F198" i="32" s="1"/>
  <c r="L105" i="32"/>
  <c r="G90" i="32"/>
  <c r="G200" i="32" s="1"/>
  <c r="J102" i="32"/>
  <c r="E85" i="31"/>
  <c r="E195" i="31" s="1"/>
  <c r="J100" i="31"/>
  <c r="E80" i="30"/>
  <c r="E190" i="30" s="1"/>
  <c r="E82" i="30"/>
  <c r="E192" i="30" s="1"/>
  <c r="E81" i="30"/>
  <c r="E191" i="30" s="1"/>
  <c r="E83" i="30"/>
  <c r="E193" i="30" s="1"/>
  <c r="J95" i="30"/>
  <c r="J98" i="30"/>
  <c r="J97" i="30"/>
  <c r="G57" i="30"/>
  <c r="H135" i="29"/>
  <c r="H151" i="29" s="1"/>
  <c r="F117" i="29"/>
  <c r="F101" i="29"/>
  <c r="F116" i="29" s="1"/>
  <c r="F97" i="29"/>
  <c r="F112" i="29" s="1"/>
  <c r="F100" i="29"/>
  <c r="F115" i="29" s="1"/>
  <c r="F96" i="29"/>
  <c r="F111" i="29" s="1"/>
  <c r="F99" i="29"/>
  <c r="F114" i="29" s="1"/>
  <c r="F103" i="29"/>
  <c r="F118" i="29" s="1"/>
  <c r="F98" i="29"/>
  <c r="F113" i="29" s="1"/>
  <c r="E96" i="29"/>
  <c r="E111" i="29" s="1"/>
  <c r="E97" i="29"/>
  <c r="E112" i="29" s="1"/>
  <c r="E98" i="29"/>
  <c r="E113" i="29" s="1"/>
  <c r="E99" i="29"/>
  <c r="E114" i="29" s="1"/>
  <c r="E100" i="29"/>
  <c r="E115" i="29" s="1"/>
  <c r="E101" i="29"/>
  <c r="E116" i="29" s="1"/>
  <c r="K116" i="44" l="1"/>
  <c r="W129" i="31"/>
  <c r="W140" i="31" s="1"/>
  <c r="G129" i="31"/>
  <c r="G214" i="31" s="1"/>
  <c r="F124" i="44"/>
  <c r="F205" i="44" s="1"/>
  <c r="V124" i="31"/>
  <c r="V135" i="31" s="1"/>
  <c r="P123" i="31"/>
  <c r="P134" i="31" s="1"/>
  <c r="V130" i="31"/>
  <c r="V141" i="31" s="1"/>
  <c r="N124" i="31"/>
  <c r="F130" i="31"/>
  <c r="F215" i="31" s="1"/>
  <c r="F42" i="31"/>
  <c r="F82" i="31" s="1"/>
  <c r="F108" i="31" s="1"/>
  <c r="V125" i="31"/>
  <c r="V136" i="31" s="1"/>
  <c r="N130" i="31"/>
  <c r="N141" i="31" s="1"/>
  <c r="O125" i="31"/>
  <c r="O136" i="31" s="1"/>
  <c r="H35" i="31"/>
  <c r="H75" i="31" s="1"/>
  <c r="H101" i="31" s="1"/>
  <c r="M101" i="31" s="1"/>
  <c r="X123" i="31"/>
  <c r="X134" i="31" s="1"/>
  <c r="H123" i="31"/>
  <c r="H220" i="31" s="1"/>
  <c r="F245" i="44"/>
  <c r="F253" i="44" s="1"/>
  <c r="F124" i="31"/>
  <c r="F209" i="31" s="1"/>
  <c r="F36" i="31"/>
  <c r="F76" i="31" s="1"/>
  <c r="F102" i="31" s="1"/>
  <c r="K102" i="31" s="1"/>
  <c r="F213" i="44"/>
  <c r="F221" i="44" s="1"/>
  <c r="E170" i="44"/>
  <c r="E261" i="44" s="1"/>
  <c r="E269" i="44" s="1"/>
  <c r="F170" i="44"/>
  <c r="F261" i="44" s="1"/>
  <c r="F269" i="44" s="1"/>
  <c r="G38" i="31"/>
  <c r="AM127" i="31" s="1"/>
  <c r="AM138" i="31" s="1"/>
  <c r="G128" i="31"/>
  <c r="G139" i="31" s="1"/>
  <c r="G249" i="31" s="1"/>
  <c r="G123" i="31"/>
  <c r="G208" i="31" s="1"/>
  <c r="W123" i="31"/>
  <c r="W134" i="31" s="1"/>
  <c r="G35" i="31"/>
  <c r="G75" i="31" s="1"/>
  <c r="F128" i="31"/>
  <c r="F139" i="31" s="1"/>
  <c r="F249" i="31" s="1"/>
  <c r="F189" i="31"/>
  <c r="G40" i="31"/>
  <c r="AM129" i="31" s="1"/>
  <c r="AM140" i="31" s="1"/>
  <c r="G184" i="31"/>
  <c r="N128" i="31"/>
  <c r="N139" i="31" s="1"/>
  <c r="F186" i="31"/>
  <c r="F126" i="31"/>
  <c r="F211" i="31" s="1"/>
  <c r="V128" i="31"/>
  <c r="V139" i="31" s="1"/>
  <c r="G186" i="31"/>
  <c r="F125" i="31"/>
  <c r="F136" i="31" s="1"/>
  <c r="F246" i="31" s="1"/>
  <c r="G189" i="31"/>
  <c r="O128" i="31"/>
  <c r="O139" i="31" s="1"/>
  <c r="F37" i="31"/>
  <c r="F77" i="31" s="1"/>
  <c r="G122" i="31"/>
  <c r="G207" i="31" s="1"/>
  <c r="G34" i="31"/>
  <c r="AE123" i="31" s="1"/>
  <c r="AE134" i="31" s="1"/>
  <c r="W122" i="31"/>
  <c r="W133" i="31" s="1"/>
  <c r="G183" i="31"/>
  <c r="G125" i="31"/>
  <c r="G210" i="31" s="1"/>
  <c r="O122" i="31"/>
  <c r="G37" i="31"/>
  <c r="AE126" i="31" s="1"/>
  <c r="AE137" i="31" s="1"/>
  <c r="E110" i="48"/>
  <c r="M61" i="48"/>
  <c r="AK61" i="48"/>
  <c r="AK72" i="48" s="1"/>
  <c r="U61" i="48"/>
  <c r="U72" i="48" s="1"/>
  <c r="AC61" i="48"/>
  <c r="AC72" i="48" s="1"/>
  <c r="F110" i="48"/>
  <c r="AL61" i="48"/>
  <c r="AL72" i="48" s="1"/>
  <c r="V61" i="48"/>
  <c r="V72" i="48" s="1"/>
  <c r="AD61" i="48"/>
  <c r="AD72" i="48" s="1"/>
  <c r="N61" i="48"/>
  <c r="E110" i="49"/>
  <c r="AK61" i="49"/>
  <c r="AK72" i="49" s="1"/>
  <c r="U61" i="49"/>
  <c r="U72" i="49" s="1"/>
  <c r="M61" i="49"/>
  <c r="AC61" i="49"/>
  <c r="AC72" i="49" s="1"/>
  <c r="H245" i="44"/>
  <c r="H253" i="44" s="1"/>
  <c r="G110" i="49"/>
  <c r="AE61" i="49"/>
  <c r="AE72" i="49" s="1"/>
  <c r="O61" i="49"/>
  <c r="W61" i="49"/>
  <c r="W72" i="49" s="1"/>
  <c r="AM61" i="49"/>
  <c r="AM72" i="49" s="1"/>
  <c r="F103" i="48"/>
  <c r="V54" i="48"/>
  <c r="V65" i="48" s="1"/>
  <c r="AD54" i="48"/>
  <c r="AD65" i="48" s="1"/>
  <c r="N54" i="48"/>
  <c r="AL54" i="48"/>
  <c r="AL65" i="48" s="1"/>
  <c r="F110" i="50"/>
  <c r="AD61" i="50"/>
  <c r="AD72" i="50" s="1"/>
  <c r="V61" i="50"/>
  <c r="V72" i="50" s="1"/>
  <c r="N61" i="50"/>
  <c r="AL61" i="50"/>
  <c r="AL72" i="50" s="1"/>
  <c r="G110" i="50"/>
  <c r="AE61" i="50"/>
  <c r="AE72" i="50" s="1"/>
  <c r="O61" i="50"/>
  <c r="AM61" i="50"/>
  <c r="AM72" i="50" s="1"/>
  <c r="W61" i="50"/>
  <c r="W72" i="50" s="1"/>
  <c r="F38" i="31"/>
  <c r="AL127" i="31" s="1"/>
  <c r="AL138" i="31" s="1"/>
  <c r="G110" i="48"/>
  <c r="O61" i="48"/>
  <c r="W61" i="48"/>
  <c r="W72" i="48" s="1"/>
  <c r="AM61" i="48"/>
  <c r="AM72" i="48" s="1"/>
  <c r="AE61" i="48"/>
  <c r="AE72" i="48" s="1"/>
  <c r="E111" i="49"/>
  <c r="U62" i="49"/>
  <c r="U73" i="49" s="1"/>
  <c r="M62" i="49"/>
  <c r="AC62" i="49"/>
  <c r="AC73" i="49" s="1"/>
  <c r="AK62" i="49"/>
  <c r="AK73" i="49" s="1"/>
  <c r="H110" i="48"/>
  <c r="AN61" i="48"/>
  <c r="AN72" i="48" s="1"/>
  <c r="X61" i="48"/>
  <c r="X72" i="48" s="1"/>
  <c r="AF61" i="48"/>
  <c r="AF72" i="48" s="1"/>
  <c r="P61" i="48"/>
  <c r="H110" i="49"/>
  <c r="P61" i="49"/>
  <c r="AF61" i="49"/>
  <c r="AF72" i="49" s="1"/>
  <c r="AN61" i="49"/>
  <c r="AN72" i="49" s="1"/>
  <c r="X61" i="49"/>
  <c r="X72" i="49" s="1"/>
  <c r="H110" i="50"/>
  <c r="X61" i="50"/>
  <c r="X72" i="50" s="1"/>
  <c r="AN61" i="50"/>
  <c r="AN72" i="50" s="1"/>
  <c r="AF61" i="50"/>
  <c r="AF72" i="50" s="1"/>
  <c r="P61" i="50"/>
  <c r="F103" i="50"/>
  <c r="AL54" i="50"/>
  <c r="AL65" i="50" s="1"/>
  <c r="AD54" i="50"/>
  <c r="AD65" i="50" s="1"/>
  <c r="V54" i="50"/>
  <c r="V65" i="50" s="1"/>
  <c r="N54" i="50"/>
  <c r="F103" i="49"/>
  <c r="N54" i="49"/>
  <c r="AD54" i="49"/>
  <c r="AD65" i="49" s="1"/>
  <c r="V54" i="49"/>
  <c r="V65" i="49" s="1"/>
  <c r="AL54" i="49"/>
  <c r="AL65" i="49" s="1"/>
  <c r="E110" i="50"/>
  <c r="AC61" i="50"/>
  <c r="AC72" i="50" s="1"/>
  <c r="U61" i="50"/>
  <c r="U72" i="50" s="1"/>
  <c r="M61" i="50"/>
  <c r="AK61" i="50"/>
  <c r="AK72" i="50" s="1"/>
  <c r="F110" i="49"/>
  <c r="AL61" i="49"/>
  <c r="AL72" i="49" s="1"/>
  <c r="N61" i="49"/>
  <c r="V61" i="49"/>
  <c r="V72" i="49" s="1"/>
  <c r="AD61" i="49"/>
  <c r="AD72" i="49" s="1"/>
  <c r="G245" i="44"/>
  <c r="G253" i="44" s="1"/>
  <c r="P160" i="44"/>
  <c r="O160" i="44"/>
  <c r="J197" i="44"/>
  <c r="P46" i="40" s="1"/>
  <c r="P125" i="31"/>
  <c r="P136" i="31" s="1"/>
  <c r="P130" i="31"/>
  <c r="P141" i="31" s="1"/>
  <c r="V127" i="31"/>
  <c r="V138" i="31" s="1"/>
  <c r="X125" i="31"/>
  <c r="X136" i="31" s="1"/>
  <c r="H125" i="31"/>
  <c r="H136" i="31" s="1"/>
  <c r="H246" i="31" s="1"/>
  <c r="H36" i="31"/>
  <c r="H76" i="31" s="1"/>
  <c r="H87" i="31" s="1"/>
  <c r="H197" i="31" s="1"/>
  <c r="H185" i="31"/>
  <c r="H186" i="31"/>
  <c r="G170" i="30"/>
  <c r="G166" i="30"/>
  <c r="G169" i="30"/>
  <c r="G171" i="30"/>
  <c r="G165" i="30"/>
  <c r="G172" i="30"/>
  <c r="G167" i="30"/>
  <c r="G164" i="30"/>
  <c r="G168" i="30"/>
  <c r="H128" i="31"/>
  <c r="H213" i="31" s="1"/>
  <c r="F173" i="30"/>
  <c r="H173" i="30"/>
  <c r="H40" i="31"/>
  <c r="AN129" i="31" s="1"/>
  <c r="AN140" i="31" s="1"/>
  <c r="H189" i="31"/>
  <c r="H191" i="31"/>
  <c r="X130" i="31"/>
  <c r="X141" i="31" s="1"/>
  <c r="H130" i="31"/>
  <c r="H215" i="31" s="1"/>
  <c r="P124" i="31"/>
  <c r="P135" i="31" s="1"/>
  <c r="X128" i="31"/>
  <c r="X139" i="31" s="1"/>
  <c r="H124" i="31"/>
  <c r="H209" i="31" s="1"/>
  <c r="E185" i="33"/>
  <c r="M124" i="33"/>
  <c r="O109" i="43"/>
  <c r="G164" i="43"/>
  <c r="G169" i="43" s="1"/>
  <c r="O111" i="43"/>
  <c r="G166" i="43"/>
  <c r="G171" i="43" s="1"/>
  <c r="G146" i="43"/>
  <c r="G151" i="43" s="1"/>
  <c r="X106" i="43"/>
  <c r="X111" i="43" s="1"/>
  <c r="AN106" i="43"/>
  <c r="AN111" i="43" s="1"/>
  <c r="AF106" i="43"/>
  <c r="AF111" i="43" s="1"/>
  <c r="P106" i="43"/>
  <c r="H136" i="43"/>
  <c r="V106" i="43"/>
  <c r="V111" i="43" s="1"/>
  <c r="AL106" i="43"/>
  <c r="AL111" i="43" s="1"/>
  <c r="AD106" i="43"/>
  <c r="AD111" i="43" s="1"/>
  <c r="N106" i="43"/>
  <c r="F136" i="43"/>
  <c r="AN104" i="43"/>
  <c r="AN109" i="43" s="1"/>
  <c r="AF104" i="43"/>
  <c r="AF109" i="43" s="1"/>
  <c r="X104" i="43"/>
  <c r="X109" i="43" s="1"/>
  <c r="P104" i="43"/>
  <c r="H134" i="43"/>
  <c r="J134" i="43" s="1"/>
  <c r="P42" i="40" s="1"/>
  <c r="G96" i="43"/>
  <c r="G101" i="35"/>
  <c r="G160" i="35" s="1"/>
  <c r="O110" i="35"/>
  <c r="G119" i="35"/>
  <c r="AF110" i="35"/>
  <c r="AF119" i="35" s="1"/>
  <c r="X110" i="35"/>
  <c r="X119" i="35" s="1"/>
  <c r="AN110" i="35"/>
  <c r="AN119" i="35" s="1"/>
  <c r="H151" i="35"/>
  <c r="V105" i="45"/>
  <c r="V116" i="45" s="1"/>
  <c r="AD105" i="45"/>
  <c r="AD116" i="45" s="1"/>
  <c r="N105" i="45"/>
  <c r="AL105" i="45"/>
  <c r="AL116" i="45" s="1"/>
  <c r="AN105" i="45"/>
  <c r="AN116" i="45" s="1"/>
  <c r="AF105" i="45"/>
  <c r="AF116" i="45" s="1"/>
  <c r="X105" i="45"/>
  <c r="X116" i="45" s="1"/>
  <c r="P105" i="45"/>
  <c r="AK105" i="45"/>
  <c r="AK116" i="45" s="1"/>
  <c r="U105" i="45"/>
  <c r="U116" i="45" s="1"/>
  <c r="M105" i="45"/>
  <c r="AC105" i="45"/>
  <c r="AC116" i="45" s="1"/>
  <c r="W105" i="45"/>
  <c r="W116" i="45" s="1"/>
  <c r="AM105" i="45"/>
  <c r="AM116" i="45" s="1"/>
  <c r="O105" i="45"/>
  <c r="AE105" i="45"/>
  <c r="AE116" i="45" s="1"/>
  <c r="AL98" i="45"/>
  <c r="AL109" i="45" s="1"/>
  <c r="AD98" i="45"/>
  <c r="AD109" i="45" s="1"/>
  <c r="V98" i="45"/>
  <c r="V109" i="45" s="1"/>
  <c r="N98" i="45"/>
  <c r="G126" i="31"/>
  <c r="G211" i="31" s="1"/>
  <c r="G187" i="31"/>
  <c r="O126" i="31"/>
  <c r="O137" i="31" s="1"/>
  <c r="H129" i="31"/>
  <c r="H214" i="31" s="1"/>
  <c r="H41" i="31"/>
  <c r="H81" i="31" s="1"/>
  <c r="H107" i="31" s="1"/>
  <c r="M107" i="31" s="1"/>
  <c r="X129" i="31"/>
  <c r="X140" i="31" s="1"/>
  <c r="O130" i="31"/>
  <c r="O141" i="31" s="1"/>
  <c r="W130" i="31"/>
  <c r="W141" i="31" s="1"/>
  <c r="G130" i="31"/>
  <c r="G215" i="31" s="1"/>
  <c r="P129" i="31"/>
  <c r="P140" i="31" s="1"/>
  <c r="P126" i="31"/>
  <c r="P137" i="31" s="1"/>
  <c r="G42" i="31"/>
  <c r="G82" i="31" s="1"/>
  <c r="G93" i="31" s="1"/>
  <c r="G203" i="31" s="1"/>
  <c r="G188" i="31"/>
  <c r="W127" i="31"/>
  <c r="W138" i="31" s="1"/>
  <c r="F35" i="31"/>
  <c r="AL124" i="31" s="1"/>
  <c r="AL135" i="31" s="1"/>
  <c r="H188" i="31"/>
  <c r="G127" i="31"/>
  <c r="G212" i="31" s="1"/>
  <c r="V123" i="31"/>
  <c r="V134" i="31" s="1"/>
  <c r="F184" i="31"/>
  <c r="F123" i="31"/>
  <c r="F134" i="31" s="1"/>
  <c r="F244" i="31" s="1"/>
  <c r="H126" i="31"/>
  <c r="H137" i="31" s="1"/>
  <c r="H247" i="31" s="1"/>
  <c r="H127" i="31"/>
  <c r="H212" i="31" s="1"/>
  <c r="X127" i="31"/>
  <c r="X138" i="31" s="1"/>
  <c r="G39" i="31"/>
  <c r="G79" i="31" s="1"/>
  <c r="G90" i="31" s="1"/>
  <c r="G200" i="31" s="1"/>
  <c r="H38" i="31"/>
  <c r="H78" i="31" s="1"/>
  <c r="H104" i="31" s="1"/>
  <c r="M104" i="31" s="1"/>
  <c r="H39" i="31"/>
  <c r="AN128" i="31" s="1"/>
  <c r="AN139" i="31" s="1"/>
  <c r="X126" i="31"/>
  <c r="X137" i="31" s="1"/>
  <c r="F187" i="31"/>
  <c r="N127" i="31"/>
  <c r="N138" i="31" s="1"/>
  <c r="V126" i="31"/>
  <c r="V137" i="31" s="1"/>
  <c r="F34" i="31"/>
  <c r="AD123" i="31" s="1"/>
  <c r="AD134" i="31" s="1"/>
  <c r="F122" i="31"/>
  <c r="F219" i="31" s="1"/>
  <c r="N122" i="31"/>
  <c r="F74" i="31"/>
  <c r="F85" i="31" s="1"/>
  <c r="F195" i="31" s="1"/>
  <c r="F127" i="31"/>
  <c r="F224" i="31" s="1"/>
  <c r="V122" i="31"/>
  <c r="V133" i="31" s="1"/>
  <c r="J202" i="34"/>
  <c r="E292" i="30"/>
  <c r="E293" i="30" s="1"/>
  <c r="F39" i="31"/>
  <c r="F79" i="31" s="1"/>
  <c r="F90" i="31" s="1"/>
  <c r="F200" i="31" s="1"/>
  <c r="J31" i="31"/>
  <c r="F301" i="32"/>
  <c r="F302" i="32" s="1"/>
  <c r="E301" i="32"/>
  <c r="E302" i="32" s="1"/>
  <c r="H301" i="32"/>
  <c r="H302" i="32" s="1"/>
  <c r="J262" i="34"/>
  <c r="R21" i="40" s="1"/>
  <c r="E295" i="31"/>
  <c r="E294" i="31"/>
  <c r="E297" i="31"/>
  <c r="E298" i="31"/>
  <c r="E299" i="31"/>
  <c r="E293" i="31"/>
  <c r="E296" i="31"/>
  <c r="E285" i="34"/>
  <c r="E286" i="34" s="1"/>
  <c r="J286" i="34" s="1"/>
  <c r="O21" i="40" s="1"/>
  <c r="J214" i="34"/>
  <c r="Q21" i="40" s="1"/>
  <c r="G218" i="32"/>
  <c r="J218" i="32" s="1"/>
  <c r="G169" i="35"/>
  <c r="G178" i="35" s="1"/>
  <c r="J250" i="34"/>
  <c r="H262" i="30"/>
  <c r="F264" i="30"/>
  <c r="G265" i="30"/>
  <c r="G262" i="30"/>
  <c r="H110" i="35"/>
  <c r="H185" i="30"/>
  <c r="G111" i="43"/>
  <c r="G156" i="43" s="1"/>
  <c r="G161" i="43" s="1"/>
  <c r="F260" i="30"/>
  <c r="G230" i="32"/>
  <c r="J230" i="32" s="1"/>
  <c r="Q23" i="40" s="1"/>
  <c r="J83" i="35"/>
  <c r="H267" i="31"/>
  <c r="E21" i="47"/>
  <c r="G260" i="30"/>
  <c r="G226" i="34"/>
  <c r="G238" i="34"/>
  <c r="H212" i="30"/>
  <c r="H200" i="30"/>
  <c r="F217" i="30"/>
  <c r="F205" i="30"/>
  <c r="F265" i="30"/>
  <c r="G114" i="32"/>
  <c r="L114" i="32" s="1"/>
  <c r="H117" i="32"/>
  <c r="M117" i="32" s="1"/>
  <c r="E238" i="34"/>
  <c r="E225" i="34"/>
  <c r="E226" i="34" s="1"/>
  <c r="H261" i="30"/>
  <c r="H263" i="30"/>
  <c r="E281" i="31"/>
  <c r="H216" i="30"/>
  <c r="H204" i="30"/>
  <c r="E116" i="32"/>
  <c r="J116" i="32" s="1"/>
  <c r="G203" i="30"/>
  <c r="G215" i="30"/>
  <c r="F212" i="30"/>
  <c r="F200" i="30"/>
  <c r="F201" i="30"/>
  <c r="F213" i="30"/>
  <c r="G217" i="30"/>
  <c r="G205" i="30"/>
  <c r="G202" i="30"/>
  <c r="G214" i="30"/>
  <c r="F226" i="31"/>
  <c r="F214" i="31"/>
  <c r="G226" i="31"/>
  <c r="H106" i="43"/>
  <c r="H264" i="30"/>
  <c r="F263" i="30"/>
  <c r="G185" i="30"/>
  <c r="F185" i="30"/>
  <c r="G121" i="32"/>
  <c r="L121" i="32" s="1"/>
  <c r="G200" i="30"/>
  <c r="G212" i="30"/>
  <c r="H208" i="30"/>
  <c r="H220" i="30"/>
  <c r="G268" i="30"/>
  <c r="G117" i="32"/>
  <c r="L117" i="32" s="1"/>
  <c r="G261" i="30"/>
  <c r="H265" i="30"/>
  <c r="E245" i="30"/>
  <c r="E232" i="30"/>
  <c r="E233" i="30" s="1"/>
  <c r="E276" i="31"/>
  <c r="G278" i="32"/>
  <c r="J278" i="32" s="1"/>
  <c r="R23" i="40" s="1"/>
  <c r="F115" i="32"/>
  <c r="K115" i="32" s="1"/>
  <c r="F112" i="34"/>
  <c r="K112" i="34" s="1"/>
  <c r="G117" i="34"/>
  <c r="L117" i="34" s="1"/>
  <c r="H214" i="30"/>
  <c r="H202" i="30"/>
  <c r="H207" i="30"/>
  <c r="H219" i="30"/>
  <c r="H215" i="30"/>
  <c r="H203" i="30"/>
  <c r="F219" i="30"/>
  <c r="F207" i="30"/>
  <c r="H207" i="31"/>
  <c r="H219" i="31"/>
  <c r="H260" i="30"/>
  <c r="H266" i="30"/>
  <c r="E239" i="31"/>
  <c r="E240" i="31" s="1"/>
  <c r="E252" i="31"/>
  <c r="H114" i="32"/>
  <c r="M114" i="32" s="1"/>
  <c r="J14" i="43"/>
  <c r="G263" i="30"/>
  <c r="F266" i="30"/>
  <c r="G233" i="32"/>
  <c r="G220" i="30"/>
  <c r="G208" i="30"/>
  <c r="G116" i="32"/>
  <c r="L116" i="32" s="1"/>
  <c r="E115" i="32"/>
  <c r="J115" i="32" s="1"/>
  <c r="F118" i="32"/>
  <c r="K118" i="32" s="1"/>
  <c r="H117" i="34"/>
  <c r="M117" i="34" s="1"/>
  <c r="H205" i="30"/>
  <c r="H217" i="30"/>
  <c r="G216" i="30"/>
  <c r="G204" i="30"/>
  <c r="F215" i="30"/>
  <c r="F203" i="30"/>
  <c r="G213" i="30"/>
  <c r="G201" i="30"/>
  <c r="G209" i="31"/>
  <c r="G221" i="31"/>
  <c r="H267" i="30"/>
  <c r="F267" i="30"/>
  <c r="E254" i="32"/>
  <c r="E241" i="32"/>
  <c r="E242" i="32" s="1"/>
  <c r="G274" i="34"/>
  <c r="F206" i="30"/>
  <c r="F218" i="30"/>
  <c r="G267" i="30"/>
  <c r="G266" i="30"/>
  <c r="G241" i="32"/>
  <c r="H121" i="32"/>
  <c r="M121" i="32" s="1"/>
  <c r="H201" i="30"/>
  <c r="H213" i="30"/>
  <c r="F117" i="34"/>
  <c r="K117" i="34" s="1"/>
  <c r="F241" i="32"/>
  <c r="F242" i="32" s="1"/>
  <c r="F254" i="32"/>
  <c r="F114" i="32"/>
  <c r="K114" i="32" s="1"/>
  <c r="E118" i="32"/>
  <c r="J118" i="32" s="1"/>
  <c r="F117" i="32"/>
  <c r="K117" i="32" s="1"/>
  <c r="F220" i="30"/>
  <c r="F208" i="30"/>
  <c r="G219" i="30"/>
  <c r="G207" i="30"/>
  <c r="F204" i="30"/>
  <c r="F216" i="30"/>
  <c r="H218" i="30"/>
  <c r="H206" i="30"/>
  <c r="F202" i="30"/>
  <c r="F214" i="30"/>
  <c r="F268" i="30"/>
  <c r="F261" i="30"/>
  <c r="G264" i="30"/>
  <c r="G281" i="32"/>
  <c r="G302" i="32"/>
  <c r="H241" i="32"/>
  <c r="H242" i="32" s="1"/>
  <c r="H254" i="32"/>
  <c r="G206" i="30"/>
  <c r="G218" i="30"/>
  <c r="F262" i="30"/>
  <c r="H268" i="30"/>
  <c r="J116" i="44"/>
  <c r="F106" i="43"/>
  <c r="J16" i="43"/>
  <c r="F98" i="45"/>
  <c r="F109" i="45" s="1"/>
  <c r="F207" i="45" s="1"/>
  <c r="F219" i="45" s="1"/>
  <c r="G266" i="32"/>
  <c r="J266" i="32" s="1"/>
  <c r="E289" i="32"/>
  <c r="E290" i="32" s="1"/>
  <c r="F289" i="32"/>
  <c r="F290" i="32" s="1"/>
  <c r="G289" i="32"/>
  <c r="H289" i="32"/>
  <c r="H290" i="32" s="1"/>
  <c r="E273" i="34"/>
  <c r="E274" i="34" s="1"/>
  <c r="E264" i="31"/>
  <c r="E286" i="31"/>
  <c r="E285" i="31"/>
  <c r="E287" i="31"/>
  <c r="E284" i="31"/>
  <c r="E282" i="31"/>
  <c r="E283" i="31"/>
  <c r="E280" i="30"/>
  <c r="E281" i="30" s="1"/>
  <c r="F93" i="30"/>
  <c r="K93" i="30" s="1"/>
  <c r="G78" i="30"/>
  <c r="G188" i="30" s="1"/>
  <c r="E125" i="33"/>
  <c r="E210" i="33" s="1"/>
  <c r="U125" i="33"/>
  <c r="U136" i="33" s="1"/>
  <c r="AC125" i="33"/>
  <c r="AC136" i="33" s="1"/>
  <c r="AK125" i="33"/>
  <c r="AK136" i="33" s="1"/>
  <c r="M125" i="33"/>
  <c r="O138" i="31"/>
  <c r="E132" i="33"/>
  <c r="E217" i="33" s="1"/>
  <c r="M132" i="33"/>
  <c r="AC132" i="33"/>
  <c r="AC143" i="33" s="1"/>
  <c r="U132" i="33"/>
  <c r="U143" i="33" s="1"/>
  <c r="AK132" i="33"/>
  <c r="AK143" i="33" s="1"/>
  <c r="F125" i="33"/>
  <c r="F210" i="33" s="1"/>
  <c r="N125" i="33"/>
  <c r="V125" i="33"/>
  <c r="V136" i="33" s="1"/>
  <c r="AD125" i="33"/>
  <c r="AD136" i="33" s="1"/>
  <c r="AL125" i="33"/>
  <c r="AL136" i="33" s="1"/>
  <c r="E126" i="33"/>
  <c r="E211" i="33" s="1"/>
  <c r="U126" i="33"/>
  <c r="U137" i="33" s="1"/>
  <c r="AC126" i="33"/>
  <c r="AC137" i="33" s="1"/>
  <c r="AK126" i="33"/>
  <c r="AK137" i="33" s="1"/>
  <c r="M126" i="33"/>
  <c r="AE61" i="47"/>
  <c r="AE72" i="47" s="1"/>
  <c r="W61" i="47"/>
  <c r="W72" i="47" s="1"/>
  <c r="O61" i="47"/>
  <c r="AM61" i="47"/>
  <c r="AM72" i="47" s="1"/>
  <c r="P139" i="31"/>
  <c r="AD125" i="31"/>
  <c r="AD136" i="31" s="1"/>
  <c r="AL125" i="31"/>
  <c r="AL136" i="31" s="1"/>
  <c r="AL54" i="47"/>
  <c r="AL65" i="47" s="1"/>
  <c r="F32" i="47"/>
  <c r="V54" i="47"/>
  <c r="V65" i="47" s="1"/>
  <c r="N54" i="47"/>
  <c r="AD54" i="47"/>
  <c r="AD65" i="47" s="1"/>
  <c r="E130" i="33"/>
  <c r="E215" i="33" s="1"/>
  <c r="AC130" i="33"/>
  <c r="AC141" i="33" s="1"/>
  <c r="AK130" i="33"/>
  <c r="AK141" i="33" s="1"/>
  <c r="M130" i="33"/>
  <c r="U130" i="33"/>
  <c r="U141" i="33" s="1"/>
  <c r="AL61" i="47"/>
  <c r="AL72" i="47" s="1"/>
  <c r="AD61" i="47"/>
  <c r="AD72" i="47" s="1"/>
  <c r="V61" i="47"/>
  <c r="V72" i="47" s="1"/>
  <c r="N61" i="47"/>
  <c r="N137" i="31"/>
  <c r="F124" i="33"/>
  <c r="F209" i="33" s="1"/>
  <c r="AD124" i="33"/>
  <c r="AD135" i="33" s="1"/>
  <c r="F76" i="33"/>
  <c r="AL124" i="33"/>
  <c r="AL135" i="33" s="1"/>
  <c r="V124" i="33"/>
  <c r="V135" i="33" s="1"/>
  <c r="N124" i="33"/>
  <c r="AN126" i="31"/>
  <c r="AN137" i="31" s="1"/>
  <c r="AF126" i="31"/>
  <c r="AF137" i="31" s="1"/>
  <c r="AL129" i="31"/>
  <c r="AL140" i="31" s="1"/>
  <c r="AD129" i="31"/>
  <c r="AD140" i="31" s="1"/>
  <c r="U61" i="47"/>
  <c r="U72" i="47" s="1"/>
  <c r="AC61" i="47"/>
  <c r="AC72" i="47" s="1"/>
  <c r="AK61" i="47"/>
  <c r="AK72" i="47" s="1"/>
  <c r="M61" i="47"/>
  <c r="P138" i="31"/>
  <c r="N140" i="31"/>
  <c r="F127" i="33"/>
  <c r="F212" i="33" s="1"/>
  <c r="AD127" i="33"/>
  <c r="AD138" i="33" s="1"/>
  <c r="AL127" i="33"/>
  <c r="AL138" i="33" s="1"/>
  <c r="V127" i="33"/>
  <c r="V138" i="33" s="1"/>
  <c r="N127" i="33"/>
  <c r="H255" i="31"/>
  <c r="P133" i="31"/>
  <c r="H146" i="31" s="1"/>
  <c r="H291" i="31" s="1"/>
  <c r="O134" i="31"/>
  <c r="F129" i="33"/>
  <c r="F214" i="33" s="1"/>
  <c r="AL129" i="33"/>
  <c r="AL140" i="33" s="1"/>
  <c r="AD129" i="33"/>
  <c r="AD140" i="33" s="1"/>
  <c r="N129" i="33"/>
  <c r="V129" i="33"/>
  <c r="V140" i="33" s="1"/>
  <c r="F132" i="33"/>
  <c r="F217" i="33" s="1"/>
  <c r="AD132" i="33"/>
  <c r="AD143" i="33" s="1"/>
  <c r="AL132" i="33"/>
  <c r="AL143" i="33" s="1"/>
  <c r="N132" i="33"/>
  <c r="V132" i="33"/>
  <c r="V143" i="33" s="1"/>
  <c r="E124" i="33"/>
  <c r="E209" i="33" s="1"/>
  <c r="E221" i="33" s="1"/>
  <c r="E76" i="33"/>
  <c r="E87" i="33" s="1"/>
  <c r="E197" i="33" s="1"/>
  <c r="AK124" i="33"/>
  <c r="AK135" i="33" s="1"/>
  <c r="U124" i="33"/>
  <c r="U135" i="33" s="1"/>
  <c r="AC124" i="33"/>
  <c r="AC135" i="33" s="1"/>
  <c r="E127" i="33"/>
  <c r="E212" i="33" s="1"/>
  <c r="M127" i="33"/>
  <c r="U127" i="33"/>
  <c r="U138" i="33" s="1"/>
  <c r="AC127" i="33"/>
  <c r="AC138" i="33" s="1"/>
  <c r="AK127" i="33"/>
  <c r="AK138" i="33" s="1"/>
  <c r="G81" i="31"/>
  <c r="G107" i="31" s="1"/>
  <c r="L107" i="31" s="1"/>
  <c r="AE130" i="31"/>
  <c r="AE141" i="31" s="1"/>
  <c r="AM130" i="31"/>
  <c r="AM141" i="31" s="1"/>
  <c r="E128" i="33"/>
  <c r="E213" i="33" s="1"/>
  <c r="AK128" i="33"/>
  <c r="AK139" i="33" s="1"/>
  <c r="M128" i="33"/>
  <c r="U128" i="33"/>
  <c r="U139" i="33" s="1"/>
  <c r="AC128" i="33"/>
  <c r="AC139" i="33" s="1"/>
  <c r="E129" i="33"/>
  <c r="E214" i="33" s="1"/>
  <c r="AK129" i="33"/>
  <c r="AK140" i="33" s="1"/>
  <c r="M129" i="33"/>
  <c r="U129" i="33"/>
  <c r="U140" i="33" s="1"/>
  <c r="AC129" i="33"/>
  <c r="AC140" i="33" s="1"/>
  <c r="F128" i="33"/>
  <c r="F213" i="33" s="1"/>
  <c r="AD128" i="33"/>
  <c r="AD139" i="33" s="1"/>
  <c r="N128" i="33"/>
  <c r="V128" i="33"/>
  <c r="V139" i="33" s="1"/>
  <c r="AL128" i="33"/>
  <c r="AL139" i="33" s="1"/>
  <c r="F81" i="31"/>
  <c r="F107" i="31" s="1"/>
  <c r="K107" i="31" s="1"/>
  <c r="AD130" i="31"/>
  <c r="AD141" i="31" s="1"/>
  <c r="AL130" i="31"/>
  <c r="AL141" i="31" s="1"/>
  <c r="AF123" i="31"/>
  <c r="AF134" i="31" s="1"/>
  <c r="AN123" i="31"/>
  <c r="AN134" i="31" s="1"/>
  <c r="G76" i="31"/>
  <c r="G87" i="31" s="1"/>
  <c r="G197" i="31" s="1"/>
  <c r="AE125" i="31"/>
  <c r="AE136" i="31" s="1"/>
  <c r="AM125" i="31"/>
  <c r="AM136" i="31" s="1"/>
  <c r="X61" i="47"/>
  <c r="X72" i="47" s="1"/>
  <c r="P61" i="47"/>
  <c r="AN61" i="47"/>
  <c r="AN72" i="47" s="1"/>
  <c r="AF61" i="47"/>
  <c r="AF72" i="47" s="1"/>
  <c r="O135" i="31"/>
  <c r="F126" i="33"/>
  <c r="F211" i="33" s="1"/>
  <c r="AL126" i="33"/>
  <c r="AL137" i="33" s="1"/>
  <c r="N126" i="33"/>
  <c r="V126" i="33"/>
  <c r="V137" i="33" s="1"/>
  <c r="AD126" i="33"/>
  <c r="AD137" i="33" s="1"/>
  <c r="E101" i="30"/>
  <c r="J101" i="30" s="1"/>
  <c r="N136" i="31"/>
  <c r="F130" i="33"/>
  <c r="F215" i="33" s="1"/>
  <c r="V130" i="33"/>
  <c r="V141" i="33" s="1"/>
  <c r="AD130" i="33"/>
  <c r="AD141" i="33" s="1"/>
  <c r="N130" i="33"/>
  <c r="AL130" i="33"/>
  <c r="AL141" i="33" s="1"/>
  <c r="O140" i="31"/>
  <c r="N134" i="31"/>
  <c r="N135" i="31"/>
  <c r="E27" i="47"/>
  <c r="E109" i="47" s="1"/>
  <c r="E118" i="29"/>
  <c r="E95" i="32"/>
  <c r="E205" i="32" s="1"/>
  <c r="E27" i="49"/>
  <c r="O126" i="30"/>
  <c r="G139" i="30" s="1"/>
  <c r="G284" i="30" s="1"/>
  <c r="G248" i="30"/>
  <c r="N130" i="30"/>
  <c r="F143" i="30" s="1"/>
  <c r="F288" i="30" s="1"/>
  <c r="F252" i="30"/>
  <c r="N128" i="30"/>
  <c r="F141" i="30" s="1"/>
  <c r="F286" i="30" s="1"/>
  <c r="F250" i="30"/>
  <c r="O131" i="30"/>
  <c r="G144" i="30" s="1"/>
  <c r="G289" i="30" s="1"/>
  <c r="G253" i="30"/>
  <c r="P134" i="30"/>
  <c r="H147" i="30" s="1"/>
  <c r="H292" i="30" s="1"/>
  <c r="H256" i="30"/>
  <c r="O134" i="30"/>
  <c r="G147" i="30" s="1"/>
  <c r="G292" i="30" s="1"/>
  <c r="G256" i="30"/>
  <c r="P132" i="30"/>
  <c r="H145" i="30" s="1"/>
  <c r="H290" i="30" s="1"/>
  <c r="H254" i="30"/>
  <c r="P129" i="30"/>
  <c r="H142" i="30" s="1"/>
  <c r="H287" i="30" s="1"/>
  <c r="H251" i="30"/>
  <c r="N132" i="30"/>
  <c r="F145" i="30" s="1"/>
  <c r="F290" i="30" s="1"/>
  <c r="F254" i="30"/>
  <c r="N126" i="30"/>
  <c r="F139" i="30" s="1"/>
  <c r="F284" i="30" s="1"/>
  <c r="F248" i="30"/>
  <c r="N131" i="30"/>
  <c r="F144" i="30" s="1"/>
  <c r="F289" i="30" s="1"/>
  <c r="F253" i="30"/>
  <c r="P127" i="30"/>
  <c r="H140" i="30" s="1"/>
  <c r="H285" i="30" s="1"/>
  <c r="H249" i="30"/>
  <c r="N129" i="30"/>
  <c r="F142" i="30" s="1"/>
  <c r="F287" i="30" s="1"/>
  <c r="F251" i="30"/>
  <c r="O127" i="30"/>
  <c r="G140" i="30" s="1"/>
  <c r="G285" i="30" s="1"/>
  <c r="G249" i="30"/>
  <c r="O133" i="30"/>
  <c r="G146" i="30" s="1"/>
  <c r="G291" i="30" s="1"/>
  <c r="G255" i="30"/>
  <c r="P131" i="30"/>
  <c r="H144" i="30" s="1"/>
  <c r="H289" i="30" s="1"/>
  <c r="H253" i="30"/>
  <c r="O132" i="30"/>
  <c r="G145" i="30" s="1"/>
  <c r="G290" i="30" s="1"/>
  <c r="G254" i="30"/>
  <c r="O129" i="30"/>
  <c r="G142" i="30" s="1"/>
  <c r="G287" i="30" s="1"/>
  <c r="G251" i="30"/>
  <c r="P130" i="30"/>
  <c r="H143" i="30" s="1"/>
  <c r="H288" i="30" s="1"/>
  <c r="H252" i="30"/>
  <c r="N133" i="30"/>
  <c r="F146" i="30" s="1"/>
  <c r="F291" i="30" s="1"/>
  <c r="F255" i="30"/>
  <c r="P126" i="30"/>
  <c r="H139" i="30" s="1"/>
  <c r="H284" i="30" s="1"/>
  <c r="H248" i="30"/>
  <c r="P133" i="30"/>
  <c r="H146" i="30" s="1"/>
  <c r="H291" i="30" s="1"/>
  <c r="H255" i="30"/>
  <c r="N134" i="30"/>
  <c r="F147" i="30" s="1"/>
  <c r="F292" i="30" s="1"/>
  <c r="F256" i="30"/>
  <c r="P128" i="30"/>
  <c r="H141" i="30" s="1"/>
  <c r="H286" i="30" s="1"/>
  <c r="H250" i="30"/>
  <c r="N127" i="30"/>
  <c r="F140" i="30" s="1"/>
  <c r="F285" i="30" s="1"/>
  <c r="F249" i="30"/>
  <c r="O128" i="30"/>
  <c r="G141" i="30" s="1"/>
  <c r="G286" i="30" s="1"/>
  <c r="G250" i="30"/>
  <c r="O130" i="30"/>
  <c r="G143" i="30" s="1"/>
  <c r="G288" i="30" s="1"/>
  <c r="G252" i="30"/>
  <c r="E39" i="45"/>
  <c r="E159" i="45" s="1"/>
  <c r="E25" i="47"/>
  <c r="E107" i="47" s="1"/>
  <c r="F41" i="45"/>
  <c r="F161" i="45" s="1"/>
  <c r="E45" i="45"/>
  <c r="E165" i="45" s="1"/>
  <c r="F22" i="50"/>
  <c r="F23" i="50"/>
  <c r="F26" i="49"/>
  <c r="E24" i="49"/>
  <c r="F23" i="47"/>
  <c r="F105" i="47" s="1"/>
  <c r="E47" i="45"/>
  <c r="E167" i="45" s="1"/>
  <c r="F29" i="47"/>
  <c r="F111" i="47" s="1"/>
  <c r="E26" i="47"/>
  <c r="E108" i="47" s="1"/>
  <c r="E29" i="48"/>
  <c r="F25" i="48"/>
  <c r="E29" i="47"/>
  <c r="E111" i="47" s="1"/>
  <c r="E21" i="50"/>
  <c r="F22" i="48"/>
  <c r="E24" i="48"/>
  <c r="E26" i="50"/>
  <c r="E26" i="48"/>
  <c r="E29" i="50"/>
  <c r="F45" i="45"/>
  <c r="F165" i="45" s="1"/>
  <c r="F27" i="48"/>
  <c r="E62" i="49"/>
  <c r="E40" i="49"/>
  <c r="E22" i="48"/>
  <c r="E39" i="48"/>
  <c r="E50" i="48" s="1"/>
  <c r="E122" i="48" s="1"/>
  <c r="E61" i="48"/>
  <c r="H61" i="48"/>
  <c r="H39" i="48"/>
  <c r="H50" i="48" s="1"/>
  <c r="H122" i="48" s="1"/>
  <c r="F42" i="45"/>
  <c r="F162" i="45" s="1"/>
  <c r="F44" i="45"/>
  <c r="F164" i="45" s="1"/>
  <c r="F26" i="48"/>
  <c r="E39" i="47"/>
  <c r="E61" i="47"/>
  <c r="F29" i="49"/>
  <c r="E23" i="48"/>
  <c r="G61" i="47"/>
  <c r="G39" i="47"/>
  <c r="F47" i="45"/>
  <c r="F167" i="45" s="1"/>
  <c r="E22" i="49"/>
  <c r="F29" i="50"/>
  <c r="F54" i="47"/>
  <c r="F25" i="49"/>
  <c r="F24" i="50"/>
  <c r="E27" i="48"/>
  <c r="F40" i="45"/>
  <c r="F160" i="45" s="1"/>
  <c r="F23" i="48"/>
  <c r="F24" i="47"/>
  <c r="F106" i="47" s="1"/>
  <c r="E24" i="47"/>
  <c r="E106" i="47" s="1"/>
  <c r="F23" i="49"/>
  <c r="F26" i="50"/>
  <c r="E25" i="48"/>
  <c r="G61" i="50"/>
  <c r="G39" i="50"/>
  <c r="H61" i="50"/>
  <c r="H39" i="50"/>
  <c r="E24" i="50"/>
  <c r="F39" i="50"/>
  <c r="F61" i="50"/>
  <c r="E23" i="50"/>
  <c r="F24" i="48"/>
  <c r="E108" i="31"/>
  <c r="E44" i="45"/>
  <c r="E164" i="45" s="1"/>
  <c r="F27" i="47"/>
  <c r="F109" i="47" s="1"/>
  <c r="E22" i="47"/>
  <c r="E104" i="47" s="1"/>
  <c r="F22" i="49"/>
  <c r="F25" i="50"/>
  <c r="E25" i="49"/>
  <c r="E61" i="50"/>
  <c r="E39" i="50"/>
  <c r="E61" i="49"/>
  <c r="E39" i="49"/>
  <c r="E40" i="45"/>
  <c r="E160" i="45" s="1"/>
  <c r="F61" i="49"/>
  <c r="F39" i="49"/>
  <c r="E93" i="31"/>
  <c r="E203" i="31" s="1"/>
  <c r="E43" i="45"/>
  <c r="E163" i="45" s="1"/>
  <c r="F22" i="47"/>
  <c r="F104" i="47" s="1"/>
  <c r="E23" i="47"/>
  <c r="E105" i="47" s="1"/>
  <c r="H39" i="47"/>
  <c r="H61" i="47"/>
  <c r="F54" i="49"/>
  <c r="F32" i="49"/>
  <c r="F32" i="50"/>
  <c r="F54" i="50"/>
  <c r="E26" i="49"/>
  <c r="E22" i="50"/>
  <c r="G39" i="48"/>
  <c r="G50" i="48" s="1"/>
  <c r="G122" i="48" s="1"/>
  <c r="G61" i="48"/>
  <c r="E42" i="45"/>
  <c r="E162" i="45" s="1"/>
  <c r="F25" i="47"/>
  <c r="F107" i="47" s="1"/>
  <c r="F24" i="49"/>
  <c r="F27" i="50"/>
  <c r="E27" i="50"/>
  <c r="F54" i="48"/>
  <c r="F32" i="48"/>
  <c r="F43" i="48" s="1"/>
  <c r="F115" i="48" s="1"/>
  <c r="F61" i="47"/>
  <c r="F39" i="47"/>
  <c r="E23" i="49"/>
  <c r="F61" i="48"/>
  <c r="F39" i="48"/>
  <c r="F50" i="48" s="1"/>
  <c r="F122" i="48" s="1"/>
  <c r="F43" i="45"/>
  <c r="F163" i="45" s="1"/>
  <c r="E41" i="45"/>
  <c r="E161" i="45" s="1"/>
  <c r="F29" i="48"/>
  <c r="G61" i="49"/>
  <c r="G39" i="49"/>
  <c r="F26" i="47"/>
  <c r="F108" i="47" s="1"/>
  <c r="F27" i="49"/>
  <c r="E21" i="48"/>
  <c r="E21" i="49"/>
  <c r="H39" i="49"/>
  <c r="H61" i="49"/>
  <c r="E25" i="50"/>
  <c r="F57" i="45"/>
  <c r="F105" i="45"/>
  <c r="H57" i="45"/>
  <c r="H105" i="45"/>
  <c r="G57" i="45"/>
  <c r="G105" i="45"/>
  <c r="E57" i="45"/>
  <c r="E105" i="45"/>
  <c r="F50" i="45"/>
  <c r="F34" i="35"/>
  <c r="E91" i="34"/>
  <c r="E189" i="34" s="1"/>
  <c r="H82" i="43"/>
  <c r="G87" i="43"/>
  <c r="G141" i="43" s="1"/>
  <c r="F82" i="43"/>
  <c r="H87" i="32"/>
  <c r="H197" i="32" s="1"/>
  <c r="H106" i="30"/>
  <c r="F106" i="30"/>
  <c r="F101" i="30"/>
  <c r="K101" i="30" s="1"/>
  <c r="F96" i="30"/>
  <c r="K96" i="30" s="1"/>
  <c r="F105" i="30"/>
  <c r="H111" i="30"/>
  <c r="H98" i="30"/>
  <c r="M98" i="30" s="1"/>
  <c r="H94" i="30"/>
  <c r="M94" i="30" s="1"/>
  <c r="H109" i="30"/>
  <c r="H93" i="31"/>
  <c r="H203" i="31" s="1"/>
  <c r="H108" i="31"/>
  <c r="H101" i="30"/>
  <c r="M101" i="30" s="1"/>
  <c r="E112" i="30"/>
  <c r="J112" i="30" s="1"/>
  <c r="H97" i="30"/>
  <c r="M97" i="30" s="1"/>
  <c r="F116" i="32"/>
  <c r="K116" i="32" s="1"/>
  <c r="H118" i="32"/>
  <c r="M118" i="32" s="1"/>
  <c r="F110" i="32"/>
  <c r="K110" i="32" s="1"/>
  <c r="H105" i="30"/>
  <c r="H108" i="30"/>
  <c r="E114" i="31"/>
  <c r="G87" i="32"/>
  <c r="G197" i="32" s="1"/>
  <c r="G102" i="32"/>
  <c r="L102" i="32" s="1"/>
  <c r="E111" i="31"/>
  <c r="E109" i="30"/>
  <c r="J109" i="30" s="1"/>
  <c r="E111" i="30"/>
  <c r="J111" i="30" s="1"/>
  <c r="G118" i="32"/>
  <c r="L118" i="32" s="1"/>
  <c r="F102" i="32"/>
  <c r="K102" i="32" s="1"/>
  <c r="G115" i="32"/>
  <c r="L115" i="32" s="1"/>
  <c r="F112" i="30"/>
  <c r="K112" i="30" s="1"/>
  <c r="H100" i="30"/>
  <c r="M100" i="30" s="1"/>
  <c r="E107" i="30"/>
  <c r="E118" i="31"/>
  <c r="E115" i="31"/>
  <c r="F97" i="30"/>
  <c r="K97" i="30" s="1"/>
  <c r="F100" i="30"/>
  <c r="K100" i="30" s="1"/>
  <c r="G107" i="30"/>
  <c r="G108" i="30"/>
  <c r="G97" i="30"/>
  <c r="G105" i="30"/>
  <c r="G109" i="30"/>
  <c r="G94" i="30"/>
  <c r="G98" i="30"/>
  <c r="G111" i="30"/>
  <c r="G96" i="30"/>
  <c r="G112" i="30"/>
  <c r="G106" i="30"/>
  <c r="G95" i="30"/>
  <c r="G100" i="30"/>
  <c r="G93" i="30"/>
  <c r="G101" i="30"/>
  <c r="E117" i="32"/>
  <c r="J117" i="32" s="1"/>
  <c r="H112" i="30"/>
  <c r="H115" i="32"/>
  <c r="M115" i="32" s="1"/>
  <c r="F111" i="30"/>
  <c r="E112" i="31"/>
  <c r="E104" i="30"/>
  <c r="J104" i="30" s="1"/>
  <c r="H93" i="30"/>
  <c r="M93" i="30" s="1"/>
  <c r="E113" i="31"/>
  <c r="H98" i="34"/>
  <c r="M98" i="34" s="1"/>
  <c r="G85" i="31"/>
  <c r="G195" i="31" s="1"/>
  <c r="G100" i="31"/>
  <c r="L100" i="31" s="1"/>
  <c r="H100" i="31"/>
  <c r="M100" i="31" s="1"/>
  <c r="E110" i="34"/>
  <c r="J110" i="34" s="1"/>
  <c r="F108" i="30"/>
  <c r="F98" i="30"/>
  <c r="K98" i="30" s="1"/>
  <c r="G213" i="44"/>
  <c r="G221" i="44" s="1"/>
  <c r="G160" i="44"/>
  <c r="G229" i="44" s="1"/>
  <c r="G237" i="44" s="1"/>
  <c r="E105" i="30"/>
  <c r="E108" i="30"/>
  <c r="E106" i="30"/>
  <c r="E116" i="31"/>
  <c r="G98" i="34"/>
  <c r="L98" i="34" s="1"/>
  <c r="F107" i="30"/>
  <c r="F94" i="30"/>
  <c r="K94" i="30" s="1"/>
  <c r="L136" i="44"/>
  <c r="O136" i="44" s="1"/>
  <c r="G124" i="44"/>
  <c r="G205" i="44" s="1"/>
  <c r="E144" i="44"/>
  <c r="J144" i="44" s="1"/>
  <c r="H213" i="44"/>
  <c r="H221" i="44" s="1"/>
  <c r="H160" i="44"/>
  <c r="H229" i="44" s="1"/>
  <c r="H237" i="44" s="1"/>
  <c r="E114" i="32"/>
  <c r="J114" i="32" s="1"/>
  <c r="F95" i="30"/>
  <c r="K95" i="30" s="1"/>
  <c r="F109" i="30"/>
  <c r="K109" i="30" s="1"/>
  <c r="H95" i="30"/>
  <c r="M95" i="30" s="1"/>
  <c r="H136" i="44"/>
  <c r="M136" i="44" s="1"/>
  <c r="P136" i="44" s="1"/>
  <c r="H124" i="44"/>
  <c r="H205" i="44" s="1"/>
  <c r="G144" i="43"/>
  <c r="G149" i="43" s="1"/>
  <c r="G109" i="43"/>
  <c r="G154" i="43" s="1"/>
  <c r="G159" i="43" s="1"/>
  <c r="H104" i="43"/>
  <c r="H80" i="43"/>
  <c r="J80" i="43" s="1"/>
  <c r="G94" i="43"/>
  <c r="G85" i="43"/>
  <c r="G139" i="43" s="1"/>
  <c r="H92" i="35"/>
  <c r="F44" i="33"/>
  <c r="F78" i="33" s="1"/>
  <c r="E50" i="33"/>
  <c r="E84" i="33" s="1"/>
  <c r="E42" i="33"/>
  <c r="F48" i="33"/>
  <c r="E44" i="33"/>
  <c r="E78" i="33" s="1"/>
  <c r="F47" i="33"/>
  <c r="F81" i="33" s="1"/>
  <c r="F107" i="33" s="1"/>
  <c r="K107" i="33" s="1"/>
  <c r="E47" i="33"/>
  <c r="E81" i="33" s="1"/>
  <c r="E48" i="33"/>
  <c r="E46" i="33"/>
  <c r="E80" i="33" s="1"/>
  <c r="F42" i="33"/>
  <c r="E45" i="33"/>
  <c r="E79" i="33" s="1"/>
  <c r="E105" i="33" s="1"/>
  <c r="J105" i="33" s="1"/>
  <c r="F43" i="33"/>
  <c r="F77" i="33" s="1"/>
  <c r="F45" i="33"/>
  <c r="F79" i="33" s="1"/>
  <c r="F105" i="33" s="1"/>
  <c r="K105" i="33" s="1"/>
  <c r="F50" i="33"/>
  <c r="F84" i="33" s="1"/>
  <c r="E43" i="33"/>
  <c r="F46" i="33"/>
  <c r="F80" i="33" s="1"/>
  <c r="F106" i="33" s="1"/>
  <c r="K106" i="33" s="1"/>
  <c r="H77" i="31"/>
  <c r="G86" i="34"/>
  <c r="G184" i="34" s="1"/>
  <c r="H85" i="31"/>
  <c r="H195" i="31" s="1"/>
  <c r="H133" i="31"/>
  <c r="H243" i="31" s="1"/>
  <c r="G140" i="31"/>
  <c r="G250" i="31" s="1"/>
  <c r="F140" i="31"/>
  <c r="F250" i="31" s="1"/>
  <c r="G83" i="34"/>
  <c r="G181" i="34" s="1"/>
  <c r="H83" i="34"/>
  <c r="H181" i="34" s="1"/>
  <c r="G135" i="31"/>
  <c r="G245" i="31" s="1"/>
  <c r="H131" i="30"/>
  <c r="H241" i="30" s="1"/>
  <c r="F132" i="30"/>
  <c r="F242" i="30" s="1"/>
  <c r="G132" i="30"/>
  <c r="G242" i="30" s="1"/>
  <c r="G134" i="30"/>
  <c r="G244" i="30" s="1"/>
  <c r="H127" i="30"/>
  <c r="H237" i="30" s="1"/>
  <c r="H128" i="30"/>
  <c r="H238" i="30" s="1"/>
  <c r="H133" i="30"/>
  <c r="H243" i="30" s="1"/>
  <c r="H129" i="30"/>
  <c r="H239" i="30" s="1"/>
  <c r="F133" i="30"/>
  <c r="F243" i="30" s="1"/>
  <c r="G127" i="30"/>
  <c r="G237" i="30" s="1"/>
  <c r="F134" i="30"/>
  <c r="F244" i="30" s="1"/>
  <c r="G133" i="30"/>
  <c r="G243" i="30" s="1"/>
  <c r="F130" i="30"/>
  <c r="F240" i="30" s="1"/>
  <c r="H132" i="30"/>
  <c r="H242" i="30" s="1"/>
  <c r="F128" i="30"/>
  <c r="F238" i="30" s="1"/>
  <c r="F129" i="30"/>
  <c r="F239" i="30" s="1"/>
  <c r="G126" i="30"/>
  <c r="G236" i="30" s="1"/>
  <c r="H126" i="30"/>
  <c r="H236" i="30" s="1"/>
  <c r="H134" i="30"/>
  <c r="H244" i="30" s="1"/>
  <c r="H130" i="30"/>
  <c r="H240" i="30" s="1"/>
  <c r="F131" i="30"/>
  <c r="F241" i="30" s="1"/>
  <c r="G130" i="30"/>
  <c r="G240" i="30" s="1"/>
  <c r="G129" i="30"/>
  <c r="G239" i="30" s="1"/>
  <c r="F126" i="30"/>
  <c r="F236" i="30" s="1"/>
  <c r="F127" i="30"/>
  <c r="F237" i="30" s="1"/>
  <c r="G131" i="30"/>
  <c r="G241" i="30" s="1"/>
  <c r="G128" i="30"/>
  <c r="G238" i="30" s="1"/>
  <c r="J100" i="30"/>
  <c r="L101" i="34"/>
  <c r="F87" i="32"/>
  <c r="F197" i="32" s="1"/>
  <c r="K98" i="34"/>
  <c r="H75" i="34"/>
  <c r="H101" i="34" s="1"/>
  <c r="H79" i="32"/>
  <c r="J109" i="34"/>
  <c r="F95" i="32"/>
  <c r="F205" i="32" s="1"/>
  <c r="G39" i="33"/>
  <c r="G193" i="33" s="1"/>
  <c r="G34" i="33"/>
  <c r="G188" i="33" s="1"/>
  <c r="G36" i="33"/>
  <c r="G190" i="33" s="1"/>
  <c r="G37" i="33"/>
  <c r="G191" i="33" s="1"/>
  <c r="G33" i="33"/>
  <c r="G187" i="33" s="1"/>
  <c r="G31" i="33"/>
  <c r="G185" i="33" s="1"/>
  <c r="G35" i="33"/>
  <c r="G189" i="33" s="1"/>
  <c r="G32" i="33"/>
  <c r="G186" i="33" s="1"/>
  <c r="H32" i="33"/>
  <c r="H186" i="33" s="1"/>
  <c r="H37" i="33"/>
  <c r="H191" i="33" s="1"/>
  <c r="H35" i="33"/>
  <c r="H189" i="33" s="1"/>
  <c r="H36" i="33"/>
  <c r="H190" i="33" s="1"/>
  <c r="H34" i="33"/>
  <c r="H188" i="33" s="1"/>
  <c r="H39" i="33"/>
  <c r="H193" i="33" s="1"/>
  <c r="H33" i="33"/>
  <c r="H187" i="33" s="1"/>
  <c r="H31" i="33"/>
  <c r="H185" i="33" s="1"/>
  <c r="H70" i="30"/>
  <c r="J113" i="32"/>
  <c r="F78" i="30"/>
  <c r="F188" i="30" s="1"/>
  <c r="H97" i="29"/>
  <c r="H117" i="29"/>
  <c r="G97" i="29"/>
  <c r="G117" i="29"/>
  <c r="G95" i="29"/>
  <c r="G103" i="29"/>
  <c r="G98" i="29"/>
  <c r="H103" i="29"/>
  <c r="H98" i="29"/>
  <c r="H101" i="29"/>
  <c r="H95" i="29"/>
  <c r="G101" i="29"/>
  <c r="G100" i="29"/>
  <c r="G96" i="29"/>
  <c r="G99" i="29"/>
  <c r="H99" i="29"/>
  <c r="H96" i="29"/>
  <c r="H100" i="29"/>
  <c r="J46" i="40" l="1"/>
  <c r="F144" i="44"/>
  <c r="K144" i="44" s="1"/>
  <c r="AE127" i="31"/>
  <c r="AE138" i="31" s="1"/>
  <c r="F227" i="31"/>
  <c r="F141" i="31"/>
  <c r="F251" i="31" s="1"/>
  <c r="F93" i="31"/>
  <c r="F203" i="31" s="1"/>
  <c r="AN124" i="31"/>
  <c r="AN135" i="31" s="1"/>
  <c r="F78" i="31"/>
  <c r="F89" i="31" s="1"/>
  <c r="F199" i="31" s="1"/>
  <c r="AF124" i="31"/>
  <c r="AF135" i="31" s="1"/>
  <c r="G220" i="31"/>
  <c r="H134" i="31"/>
  <c r="H244" i="31" s="1"/>
  <c r="F221" i="31"/>
  <c r="H208" i="31"/>
  <c r="F135" i="31"/>
  <c r="F245" i="31" s="1"/>
  <c r="AE129" i="31"/>
  <c r="AE140" i="31" s="1"/>
  <c r="G153" i="31" s="1"/>
  <c r="G78" i="31"/>
  <c r="G104" i="31" s="1"/>
  <c r="L104" i="31" s="1"/>
  <c r="G134" i="31"/>
  <c r="G244" i="31" s="1"/>
  <c r="J253" i="44"/>
  <c r="R46" i="40" s="1"/>
  <c r="J237" i="44"/>
  <c r="N46" i="40" s="1"/>
  <c r="J221" i="44"/>
  <c r="Q46" i="40" s="1"/>
  <c r="AM123" i="31"/>
  <c r="AM134" i="31" s="1"/>
  <c r="F223" i="31"/>
  <c r="J205" i="44"/>
  <c r="M46" i="40" s="1"/>
  <c r="G170" i="44"/>
  <c r="G261" i="44" s="1"/>
  <c r="G269" i="44" s="1"/>
  <c r="H170" i="44"/>
  <c r="H261" i="44" s="1"/>
  <c r="H269" i="44" s="1"/>
  <c r="G118" i="43"/>
  <c r="G176" i="43" s="1"/>
  <c r="G181" i="43" s="1"/>
  <c r="G116" i="43"/>
  <c r="G174" i="43" s="1"/>
  <c r="G179" i="43" s="1"/>
  <c r="J151" i="35"/>
  <c r="P35" i="40" s="1"/>
  <c r="AE124" i="31"/>
  <c r="AE135" i="31" s="1"/>
  <c r="F137" i="31"/>
  <c r="F247" i="31" s="1"/>
  <c r="AL126" i="31"/>
  <c r="AL137" i="31" s="1"/>
  <c r="AM124" i="31"/>
  <c r="AM135" i="31" s="1"/>
  <c r="F213" i="31"/>
  <c r="AD126" i="31"/>
  <c r="AD137" i="31" s="1"/>
  <c r="G77" i="31"/>
  <c r="G103" i="31" s="1"/>
  <c r="L103" i="31" s="1"/>
  <c r="F225" i="31"/>
  <c r="G213" i="31"/>
  <c r="G216" i="31" s="1"/>
  <c r="G225" i="31"/>
  <c r="F222" i="31"/>
  <c r="G267" i="31"/>
  <c r="H141" i="31"/>
  <c r="H251" i="31" s="1"/>
  <c r="AD127" i="31"/>
  <c r="AD138" i="31" s="1"/>
  <c r="F151" i="31" s="1"/>
  <c r="F210" i="31"/>
  <c r="G138" i="31"/>
  <c r="G248" i="31" s="1"/>
  <c r="G136" i="31"/>
  <c r="G246" i="31" s="1"/>
  <c r="O133" i="31"/>
  <c r="G146" i="31" s="1"/>
  <c r="G291" i="31" s="1"/>
  <c r="G255" i="31"/>
  <c r="H227" i="31"/>
  <c r="G133" i="31"/>
  <c r="G243" i="31" s="1"/>
  <c r="G222" i="31"/>
  <c r="AM126" i="31"/>
  <c r="AM137" i="31" s="1"/>
  <c r="G150" i="31" s="1"/>
  <c r="G219" i="31"/>
  <c r="E107" i="48"/>
  <c r="U58" i="48"/>
  <c r="U69" i="48" s="1"/>
  <c r="AC58" i="48"/>
  <c r="AC69" i="48" s="1"/>
  <c r="M58" i="48"/>
  <c r="AK58" i="48"/>
  <c r="AK69" i="48" s="1"/>
  <c r="F104" i="48"/>
  <c r="AL55" i="48"/>
  <c r="AL66" i="48" s="1"/>
  <c r="AD55" i="48"/>
  <c r="AD66" i="48" s="1"/>
  <c r="V55" i="48"/>
  <c r="V66" i="48" s="1"/>
  <c r="N55" i="48"/>
  <c r="O72" i="50"/>
  <c r="G85" i="50" s="1"/>
  <c r="G206" i="50" s="1"/>
  <c r="G218" i="50" s="1"/>
  <c r="G182" i="50"/>
  <c r="G194" i="50" s="1"/>
  <c r="F182" i="48"/>
  <c r="F194" i="48" s="1"/>
  <c r="N72" i="48"/>
  <c r="F85" i="48" s="1"/>
  <c r="F206" i="48" s="1"/>
  <c r="F218" i="48" s="1"/>
  <c r="E103" i="48"/>
  <c r="AC54" i="48"/>
  <c r="AC65" i="48" s="1"/>
  <c r="U54" i="48"/>
  <c r="U65" i="48" s="1"/>
  <c r="M54" i="48"/>
  <c r="AK54" i="48"/>
  <c r="AK65" i="48" s="1"/>
  <c r="N65" i="49"/>
  <c r="F78" i="49" s="1"/>
  <c r="F199" i="49" s="1"/>
  <c r="F175" i="49"/>
  <c r="F187" i="49" s="1"/>
  <c r="E183" i="49"/>
  <c r="E195" i="49" s="1"/>
  <c r="M73" i="49"/>
  <c r="E86" i="49" s="1"/>
  <c r="E207" i="49" s="1"/>
  <c r="E219" i="49" s="1"/>
  <c r="E104" i="49"/>
  <c r="AC55" i="49"/>
  <c r="AC66" i="49" s="1"/>
  <c r="AK55" i="49"/>
  <c r="AK66" i="49" s="1"/>
  <c r="U55" i="49"/>
  <c r="U66" i="49" s="1"/>
  <c r="M55" i="49"/>
  <c r="E111" i="48"/>
  <c r="U62" i="48"/>
  <c r="U73" i="48" s="1"/>
  <c r="AK62" i="48"/>
  <c r="AK73" i="48" s="1"/>
  <c r="AC62" i="48"/>
  <c r="AC73" i="48" s="1"/>
  <c r="M62" i="48"/>
  <c r="N65" i="47"/>
  <c r="F78" i="47" s="1"/>
  <c r="F175" i="47"/>
  <c r="F187" i="47" s="1"/>
  <c r="O119" i="35"/>
  <c r="G205" i="35"/>
  <c r="G214" i="35" s="1"/>
  <c r="F182" i="49"/>
  <c r="F194" i="49" s="1"/>
  <c r="N72" i="49"/>
  <c r="F85" i="49" s="1"/>
  <c r="F206" i="49" s="1"/>
  <c r="F218" i="49" s="1"/>
  <c r="F105" i="48"/>
  <c r="AL56" i="48"/>
  <c r="AL67" i="48" s="1"/>
  <c r="V56" i="48"/>
  <c r="V67" i="48" s="1"/>
  <c r="N56" i="48"/>
  <c r="AD56" i="48"/>
  <c r="AD67" i="48" s="1"/>
  <c r="F111" i="49"/>
  <c r="V62" i="49"/>
  <c r="V73" i="49" s="1"/>
  <c r="N62" i="49"/>
  <c r="AL62" i="49"/>
  <c r="AL73" i="49" s="1"/>
  <c r="AD62" i="49"/>
  <c r="AD73" i="49" s="1"/>
  <c r="P72" i="47"/>
  <c r="H85" i="47" s="1"/>
  <c r="H182" i="47"/>
  <c r="H194" i="47" s="1"/>
  <c r="O72" i="47"/>
  <c r="G85" i="47" s="1"/>
  <c r="G182" i="47"/>
  <c r="G194" i="47" s="1"/>
  <c r="G173" i="30"/>
  <c r="J173" i="30" s="1"/>
  <c r="L24" i="40" s="1"/>
  <c r="N65" i="50"/>
  <c r="F78" i="50" s="1"/>
  <c r="F199" i="50" s="1"/>
  <c r="F175" i="50"/>
  <c r="F187" i="50" s="1"/>
  <c r="G182" i="49"/>
  <c r="G194" i="49" s="1"/>
  <c r="O72" i="49"/>
  <c r="G85" i="49" s="1"/>
  <c r="G206" i="49" s="1"/>
  <c r="G218" i="49" s="1"/>
  <c r="F105" i="49"/>
  <c r="V56" i="49"/>
  <c r="V67" i="49" s="1"/>
  <c r="AD56" i="49"/>
  <c r="AD67" i="49" s="1"/>
  <c r="AL56" i="49"/>
  <c r="AL67" i="49" s="1"/>
  <c r="N56" i="49"/>
  <c r="E109" i="50"/>
  <c r="AC60" i="50"/>
  <c r="AC71" i="50" s="1"/>
  <c r="U60" i="50"/>
  <c r="U71" i="50" s="1"/>
  <c r="AK60" i="50"/>
  <c r="AK71" i="50" s="1"/>
  <c r="M60" i="50"/>
  <c r="F109" i="48"/>
  <c r="AD60" i="48"/>
  <c r="AD71" i="48" s="1"/>
  <c r="AL60" i="48"/>
  <c r="AL71" i="48" s="1"/>
  <c r="N60" i="48"/>
  <c r="V60" i="48"/>
  <c r="V71" i="48" s="1"/>
  <c r="N72" i="47"/>
  <c r="F85" i="47" s="1"/>
  <c r="F182" i="47"/>
  <c r="F194" i="47" s="1"/>
  <c r="E103" i="47"/>
  <c r="E112" i="47" s="1"/>
  <c r="M54" i="47"/>
  <c r="M65" i="47" s="1"/>
  <c r="H182" i="49"/>
  <c r="H194" i="49" s="1"/>
  <c r="P72" i="49"/>
  <c r="H85" i="49" s="1"/>
  <c r="H206" i="49" s="1"/>
  <c r="H218" i="49" s="1"/>
  <c r="F182" i="50"/>
  <c r="F194" i="50" s="1"/>
  <c r="N72" i="50"/>
  <c r="F85" i="50" s="1"/>
  <c r="F206" i="50" s="1"/>
  <c r="F218" i="50" s="1"/>
  <c r="F107" i="48"/>
  <c r="V58" i="48"/>
  <c r="V69" i="48" s="1"/>
  <c r="AD58" i="48"/>
  <c r="AD69" i="48" s="1"/>
  <c r="N58" i="48"/>
  <c r="AL58" i="48"/>
  <c r="AL69" i="48" s="1"/>
  <c r="F109" i="49"/>
  <c r="AL60" i="49"/>
  <c r="AL71" i="49" s="1"/>
  <c r="N60" i="49"/>
  <c r="V60" i="49"/>
  <c r="V71" i="49" s="1"/>
  <c r="AD60" i="49"/>
  <c r="AD71" i="49" s="1"/>
  <c r="E105" i="50"/>
  <c r="M56" i="50"/>
  <c r="AK56" i="50"/>
  <c r="AK67" i="50" s="1"/>
  <c r="AC56" i="50"/>
  <c r="AC67" i="50" s="1"/>
  <c r="U56" i="50"/>
  <c r="U67" i="50" s="1"/>
  <c r="F109" i="50"/>
  <c r="AD60" i="50"/>
  <c r="AD71" i="50" s="1"/>
  <c r="V60" i="50"/>
  <c r="V71" i="50" s="1"/>
  <c r="AL60" i="50"/>
  <c r="AL71" i="50" s="1"/>
  <c r="N60" i="50"/>
  <c r="E106" i="50"/>
  <c r="AC57" i="50"/>
  <c r="AC68" i="50" s="1"/>
  <c r="U57" i="50"/>
  <c r="U68" i="50" s="1"/>
  <c r="M57" i="50"/>
  <c r="AK57" i="50"/>
  <c r="AK68" i="50" s="1"/>
  <c r="E109" i="48"/>
  <c r="U60" i="48"/>
  <c r="U71" i="48" s="1"/>
  <c r="M60" i="48"/>
  <c r="AK60" i="48"/>
  <c r="AK71" i="48" s="1"/>
  <c r="AC60" i="48"/>
  <c r="AC71" i="48" s="1"/>
  <c r="AN125" i="31"/>
  <c r="AN136" i="31" s="1"/>
  <c r="H222" i="31"/>
  <c r="E105" i="48"/>
  <c r="AK56" i="48"/>
  <c r="AK67" i="48" s="1"/>
  <c r="AC56" i="48"/>
  <c r="AC67" i="48" s="1"/>
  <c r="U56" i="48"/>
  <c r="U67" i="48" s="1"/>
  <c r="M56" i="48"/>
  <c r="H139" i="31"/>
  <c r="H249" i="31" s="1"/>
  <c r="F111" i="48"/>
  <c r="AD62" i="48"/>
  <c r="AD73" i="48" s="1"/>
  <c r="N62" i="48"/>
  <c r="V62" i="48"/>
  <c r="V73" i="48" s="1"/>
  <c r="AL62" i="48"/>
  <c r="AL73" i="48" s="1"/>
  <c r="F106" i="49"/>
  <c r="AL57" i="49"/>
  <c r="AL68" i="49" s="1"/>
  <c r="N57" i="49"/>
  <c r="V57" i="49"/>
  <c r="V68" i="49" s="1"/>
  <c r="AD57" i="49"/>
  <c r="AD68" i="49" s="1"/>
  <c r="E107" i="49"/>
  <c r="AC58" i="49"/>
  <c r="AC69" i="49" s="1"/>
  <c r="AK58" i="49"/>
  <c r="AK69" i="49" s="1"/>
  <c r="M58" i="49"/>
  <c r="U58" i="49"/>
  <c r="U69" i="49" s="1"/>
  <c r="F106" i="50"/>
  <c r="AD57" i="50"/>
  <c r="AD68" i="50" s="1"/>
  <c r="V57" i="50"/>
  <c r="V68" i="50" s="1"/>
  <c r="N57" i="50"/>
  <c r="AL57" i="50"/>
  <c r="AL68" i="50" s="1"/>
  <c r="F108" i="48"/>
  <c r="AL59" i="48"/>
  <c r="AL70" i="48" s="1"/>
  <c r="AD59" i="48"/>
  <c r="AD70" i="48" s="1"/>
  <c r="V59" i="48"/>
  <c r="V70" i="48" s="1"/>
  <c r="N59" i="48"/>
  <c r="E111" i="50"/>
  <c r="M62" i="50"/>
  <c r="AC62" i="50"/>
  <c r="AC73" i="50" s="1"/>
  <c r="AK62" i="50"/>
  <c r="AK73" i="50" s="1"/>
  <c r="U62" i="50"/>
  <c r="U73" i="50" s="1"/>
  <c r="AF125" i="31"/>
  <c r="AF136" i="31" s="1"/>
  <c r="E182" i="50"/>
  <c r="E194" i="50" s="1"/>
  <c r="M72" i="50"/>
  <c r="E85" i="50" s="1"/>
  <c r="E206" i="50" s="1"/>
  <c r="E218" i="50" s="1"/>
  <c r="H182" i="48"/>
  <c r="H194" i="48" s="1"/>
  <c r="P72" i="48"/>
  <c r="H85" i="48" s="1"/>
  <c r="H206" i="48" s="1"/>
  <c r="H218" i="48" s="1"/>
  <c r="V55" i="50"/>
  <c r="V66" i="50" s="1"/>
  <c r="AL55" i="50"/>
  <c r="AL66" i="50" s="1"/>
  <c r="N55" i="50"/>
  <c r="AD55" i="50"/>
  <c r="AD66" i="50" s="1"/>
  <c r="F107" i="50"/>
  <c r="V58" i="50"/>
  <c r="V69" i="50" s="1"/>
  <c r="AL58" i="50"/>
  <c r="AL69" i="50" s="1"/>
  <c r="N58" i="50"/>
  <c r="AD58" i="50"/>
  <c r="AD69" i="50" s="1"/>
  <c r="F107" i="49"/>
  <c r="AD58" i="49"/>
  <c r="AD69" i="49" s="1"/>
  <c r="AL58" i="49"/>
  <c r="AL69" i="49" s="1"/>
  <c r="N58" i="49"/>
  <c r="V58" i="49"/>
  <c r="V69" i="49" s="1"/>
  <c r="E108" i="48"/>
  <c r="M59" i="48"/>
  <c r="AK59" i="48"/>
  <c r="AK70" i="48" s="1"/>
  <c r="U59" i="48"/>
  <c r="U70" i="48" s="1"/>
  <c r="AC59" i="48"/>
  <c r="AC70" i="48" s="1"/>
  <c r="E106" i="49"/>
  <c r="AK57" i="49"/>
  <c r="AK68" i="49" s="1"/>
  <c r="M57" i="49"/>
  <c r="U57" i="49"/>
  <c r="U68" i="49" s="1"/>
  <c r="AC57" i="49"/>
  <c r="AC68" i="49" s="1"/>
  <c r="M72" i="47"/>
  <c r="E85" i="47" s="1"/>
  <c r="E182" i="47"/>
  <c r="E194" i="47" s="1"/>
  <c r="G182" i="48"/>
  <c r="G194" i="48" s="1"/>
  <c r="O72" i="48"/>
  <c r="G85" i="48" s="1"/>
  <c r="G206" i="48" s="1"/>
  <c r="G218" i="48" s="1"/>
  <c r="E103" i="50"/>
  <c r="AC54" i="50"/>
  <c r="AC65" i="50" s="1"/>
  <c r="AK54" i="50"/>
  <c r="AK65" i="50" s="1"/>
  <c r="M54" i="50"/>
  <c r="U54" i="50"/>
  <c r="U65" i="50" s="1"/>
  <c r="F106" i="48"/>
  <c r="AL57" i="48"/>
  <c r="AL68" i="48" s="1"/>
  <c r="AD57" i="48"/>
  <c r="AD68" i="48" s="1"/>
  <c r="V57" i="48"/>
  <c r="V68" i="48" s="1"/>
  <c r="N57" i="48"/>
  <c r="E104" i="48"/>
  <c r="AK55" i="48"/>
  <c r="AK66" i="48" s="1"/>
  <c r="AC55" i="48"/>
  <c r="AC66" i="48" s="1"/>
  <c r="U55" i="48"/>
  <c r="U66" i="48" s="1"/>
  <c r="M55" i="48"/>
  <c r="E108" i="50"/>
  <c r="AK59" i="50"/>
  <c r="AK70" i="50" s="1"/>
  <c r="M59" i="50"/>
  <c r="AC59" i="50"/>
  <c r="AC70" i="50" s="1"/>
  <c r="U59" i="50"/>
  <c r="U70" i="50" s="1"/>
  <c r="P72" i="50"/>
  <c r="H85" i="50" s="1"/>
  <c r="H206" i="50" s="1"/>
  <c r="H218" i="50" s="1"/>
  <c r="H182" i="50"/>
  <c r="H194" i="50" s="1"/>
  <c r="E182" i="49"/>
  <c r="E194" i="49" s="1"/>
  <c r="M72" i="49"/>
  <c r="E85" i="49" s="1"/>
  <c r="E206" i="49" s="1"/>
  <c r="E218" i="49" s="1"/>
  <c r="E182" i="48"/>
  <c r="E194" i="48" s="1"/>
  <c r="M72" i="48"/>
  <c r="E85" i="48" s="1"/>
  <c r="E206" i="48" s="1"/>
  <c r="E218" i="48" s="1"/>
  <c r="E105" i="49"/>
  <c r="U56" i="49"/>
  <c r="U67" i="49" s="1"/>
  <c r="AC56" i="49"/>
  <c r="AC67" i="49" s="1"/>
  <c r="AK56" i="49"/>
  <c r="AK67" i="49" s="1"/>
  <c r="M56" i="49"/>
  <c r="E104" i="50"/>
  <c r="U55" i="50"/>
  <c r="U66" i="50" s="1"/>
  <c r="AK55" i="50"/>
  <c r="AK66" i="50" s="1"/>
  <c r="M55" i="50"/>
  <c r="AC55" i="50"/>
  <c r="AC66" i="50" s="1"/>
  <c r="F108" i="50"/>
  <c r="N59" i="50"/>
  <c r="AL59" i="50"/>
  <c r="AL70" i="50" s="1"/>
  <c r="AD59" i="50"/>
  <c r="AD70" i="50" s="1"/>
  <c r="V59" i="50"/>
  <c r="V70" i="50" s="1"/>
  <c r="E103" i="49"/>
  <c r="U54" i="49"/>
  <c r="U65" i="49" s="1"/>
  <c r="M54" i="49"/>
  <c r="AC54" i="49"/>
  <c r="AC65" i="49" s="1"/>
  <c r="AK54" i="49"/>
  <c r="AK65" i="49" s="1"/>
  <c r="E108" i="49"/>
  <c r="U59" i="49"/>
  <c r="U70" i="49" s="1"/>
  <c r="AC59" i="49"/>
  <c r="AC70" i="49" s="1"/>
  <c r="M59" i="49"/>
  <c r="AK59" i="49"/>
  <c r="AK70" i="49" s="1"/>
  <c r="F104" i="49"/>
  <c r="AD55" i="49"/>
  <c r="AD66" i="49" s="1"/>
  <c r="AL55" i="49"/>
  <c r="AL66" i="49" s="1"/>
  <c r="N55" i="49"/>
  <c r="V55" i="49"/>
  <c r="V66" i="49" s="1"/>
  <c r="F108" i="49"/>
  <c r="V59" i="49"/>
  <c r="V70" i="49" s="1"/>
  <c r="AD59" i="49"/>
  <c r="AD70" i="49" s="1"/>
  <c r="N59" i="49"/>
  <c r="AL59" i="49"/>
  <c r="AL70" i="49" s="1"/>
  <c r="E107" i="50"/>
  <c r="U58" i="50"/>
  <c r="U69" i="50" s="1"/>
  <c r="AK58" i="50"/>
  <c r="AK69" i="50" s="1"/>
  <c r="M58" i="50"/>
  <c r="AC58" i="50"/>
  <c r="AC69" i="50" s="1"/>
  <c r="F111" i="50"/>
  <c r="V62" i="50"/>
  <c r="V73" i="50" s="1"/>
  <c r="N62" i="50"/>
  <c r="AD62" i="50"/>
  <c r="AD73" i="50" s="1"/>
  <c r="AL62" i="50"/>
  <c r="AL73" i="50" s="1"/>
  <c r="E106" i="48"/>
  <c r="AC57" i="48"/>
  <c r="AC68" i="48" s="1"/>
  <c r="U57" i="48"/>
  <c r="U68" i="48" s="1"/>
  <c r="AK57" i="48"/>
  <c r="AK68" i="48" s="1"/>
  <c r="M57" i="48"/>
  <c r="N56" i="50"/>
  <c r="AL56" i="50"/>
  <c r="AL67" i="50" s="1"/>
  <c r="AD56" i="50"/>
  <c r="AD67" i="50" s="1"/>
  <c r="V56" i="50"/>
  <c r="V67" i="50" s="1"/>
  <c r="E109" i="49"/>
  <c r="AK60" i="49"/>
  <c r="AK71" i="49" s="1"/>
  <c r="M60" i="49"/>
  <c r="U60" i="49"/>
  <c r="U71" i="49" s="1"/>
  <c r="AC60" i="49"/>
  <c r="AC71" i="49" s="1"/>
  <c r="H192" i="31"/>
  <c r="F175" i="48"/>
  <c r="F187" i="48" s="1"/>
  <c r="N65" i="48"/>
  <c r="F78" i="48" s="1"/>
  <c r="F199" i="48" s="1"/>
  <c r="H210" i="31"/>
  <c r="G223" i="31"/>
  <c r="AF129" i="31"/>
  <c r="AF140" i="31" s="1"/>
  <c r="H153" i="31" s="1"/>
  <c r="G137" i="31"/>
  <c r="G247" i="31" s="1"/>
  <c r="G141" i="31"/>
  <c r="G251" i="31" s="1"/>
  <c r="H225" i="31"/>
  <c r="H140" i="31"/>
  <c r="H250" i="31" s="1"/>
  <c r="H135" i="31"/>
  <c r="H245" i="31" s="1"/>
  <c r="AN130" i="31"/>
  <c r="AN141" i="31" s="1"/>
  <c r="AF130" i="31"/>
  <c r="AF141" i="31" s="1"/>
  <c r="H221" i="31"/>
  <c r="M135" i="33"/>
  <c r="E148" i="33" s="1"/>
  <c r="E257" i="33"/>
  <c r="E269" i="33" s="1"/>
  <c r="O116" i="45"/>
  <c r="G129" i="45" s="1"/>
  <c r="G262" i="45" s="1"/>
  <c r="G274" i="45" s="1"/>
  <c r="G238" i="45"/>
  <c r="G250" i="45" s="1"/>
  <c r="M116" i="45"/>
  <c r="E129" i="45" s="1"/>
  <c r="E262" i="45" s="1"/>
  <c r="E274" i="45" s="1"/>
  <c r="E238" i="45"/>
  <c r="E250" i="45" s="1"/>
  <c r="N109" i="45"/>
  <c r="F122" i="45" s="1"/>
  <c r="F255" i="45" s="1"/>
  <c r="F231" i="45"/>
  <c r="F243" i="45" s="1"/>
  <c r="P116" i="45"/>
  <c r="H129" i="45" s="1"/>
  <c r="H262" i="45" s="1"/>
  <c r="H274" i="45" s="1"/>
  <c r="H238" i="45"/>
  <c r="H250" i="45" s="1"/>
  <c r="N116" i="45"/>
  <c r="F129" i="45" s="1"/>
  <c r="F262" i="45" s="1"/>
  <c r="F274" i="45" s="1"/>
  <c r="F238" i="45"/>
  <c r="F250" i="45" s="1"/>
  <c r="P109" i="43"/>
  <c r="H164" i="43"/>
  <c r="H169" i="43" s="1"/>
  <c r="J169" i="43" s="1"/>
  <c r="R42" i="40" s="1"/>
  <c r="P111" i="43"/>
  <c r="H166" i="43"/>
  <c r="H171" i="43" s="1"/>
  <c r="N111" i="43"/>
  <c r="F166" i="43"/>
  <c r="F171" i="43" s="1"/>
  <c r="J136" i="43"/>
  <c r="P44" i="40" s="1"/>
  <c r="L96" i="43"/>
  <c r="O96" i="43" s="1"/>
  <c r="L94" i="43"/>
  <c r="O94" i="43" s="1"/>
  <c r="F146" i="43"/>
  <c r="F151" i="43" s="1"/>
  <c r="H146" i="43"/>
  <c r="H151" i="43" s="1"/>
  <c r="H96" i="43"/>
  <c r="G187" i="35"/>
  <c r="G196" i="35" s="1"/>
  <c r="H119" i="35"/>
  <c r="H101" i="35"/>
  <c r="H160" i="35" s="1"/>
  <c r="J160" i="35" s="1"/>
  <c r="M35" i="40" s="1"/>
  <c r="P110" i="35"/>
  <c r="J92" i="35"/>
  <c r="K35" i="40" s="1"/>
  <c r="AL102" i="45"/>
  <c r="AL113" i="45" s="1"/>
  <c r="AD102" i="45"/>
  <c r="AD113" i="45" s="1"/>
  <c r="V102" i="45"/>
  <c r="V113" i="45" s="1"/>
  <c r="N102" i="45"/>
  <c r="N101" i="45"/>
  <c r="AL101" i="45"/>
  <c r="AL112" i="45" s="1"/>
  <c r="AD101" i="45"/>
  <c r="AD112" i="45" s="1"/>
  <c r="V101" i="45"/>
  <c r="V112" i="45" s="1"/>
  <c r="AC99" i="45"/>
  <c r="AC110" i="45" s="1"/>
  <c r="AK99" i="45"/>
  <c r="AK110" i="45" s="1"/>
  <c r="M99" i="45"/>
  <c r="U99" i="45"/>
  <c r="U110" i="45" s="1"/>
  <c r="AL104" i="45"/>
  <c r="AL115" i="45" s="1"/>
  <c r="AD104" i="45"/>
  <c r="AD115" i="45" s="1"/>
  <c r="V104" i="45"/>
  <c r="V115" i="45" s="1"/>
  <c r="N104" i="45"/>
  <c r="AC106" i="45"/>
  <c r="AC117" i="45" s="1"/>
  <c r="U106" i="45"/>
  <c r="U117" i="45" s="1"/>
  <c r="AK106" i="45"/>
  <c r="AK117" i="45" s="1"/>
  <c r="M106" i="45"/>
  <c r="AK100" i="45"/>
  <c r="AK111" i="45" s="1"/>
  <c r="U100" i="45"/>
  <c r="U111" i="45" s="1"/>
  <c r="M100" i="45"/>
  <c r="AC100" i="45"/>
  <c r="AC111" i="45" s="1"/>
  <c r="AD103" i="45"/>
  <c r="AD114" i="45" s="1"/>
  <c r="V103" i="45"/>
  <c r="V114" i="45" s="1"/>
  <c r="N103" i="45"/>
  <c r="AL103" i="45"/>
  <c r="AL114" i="45" s="1"/>
  <c r="AL100" i="45"/>
  <c r="AL111" i="45" s="1"/>
  <c r="AD100" i="45"/>
  <c r="AD111" i="45" s="1"/>
  <c r="N100" i="45"/>
  <c r="V100" i="45"/>
  <c r="V111" i="45" s="1"/>
  <c r="AK98" i="45"/>
  <c r="AK109" i="45" s="1"/>
  <c r="AC98" i="45"/>
  <c r="AC109" i="45" s="1"/>
  <c r="U98" i="45"/>
  <c r="U109" i="45" s="1"/>
  <c r="M98" i="45"/>
  <c r="AL99" i="45"/>
  <c r="AL110" i="45" s="1"/>
  <c r="V99" i="45"/>
  <c r="V110" i="45" s="1"/>
  <c r="N99" i="45"/>
  <c r="AD99" i="45"/>
  <c r="AD110" i="45" s="1"/>
  <c r="AK101" i="45"/>
  <c r="AK112" i="45" s="1"/>
  <c r="U101" i="45"/>
  <c r="U112" i="45" s="1"/>
  <c r="M101" i="45"/>
  <c r="AC101" i="45"/>
  <c r="AC112" i="45" s="1"/>
  <c r="AK102" i="45"/>
  <c r="AK113" i="45" s="1"/>
  <c r="M102" i="45"/>
  <c r="U102" i="45"/>
  <c r="U113" i="45" s="1"/>
  <c r="AC102" i="45"/>
  <c r="AC113" i="45" s="1"/>
  <c r="AK103" i="45"/>
  <c r="AK114" i="45" s="1"/>
  <c r="M103" i="45"/>
  <c r="AC103" i="45"/>
  <c r="AC114" i="45" s="1"/>
  <c r="U103" i="45"/>
  <c r="U114" i="45" s="1"/>
  <c r="AL106" i="45"/>
  <c r="AL117" i="45" s="1"/>
  <c r="AD106" i="45"/>
  <c r="AD117" i="45" s="1"/>
  <c r="V106" i="45"/>
  <c r="V117" i="45" s="1"/>
  <c r="N106" i="45"/>
  <c r="AC104" i="45"/>
  <c r="AC115" i="45" s="1"/>
  <c r="AK104" i="45"/>
  <c r="AK115" i="45" s="1"/>
  <c r="M104" i="45"/>
  <c r="U104" i="45"/>
  <c r="U115" i="45" s="1"/>
  <c r="G192" i="31"/>
  <c r="E50" i="50"/>
  <c r="E122" i="50" s="1"/>
  <c r="F50" i="50"/>
  <c r="F122" i="50" s="1"/>
  <c r="F43" i="50"/>
  <c r="F115" i="50" s="1"/>
  <c r="H50" i="50"/>
  <c r="H122" i="50" s="1"/>
  <c r="G50" i="50"/>
  <c r="G122" i="50" s="1"/>
  <c r="E50" i="49"/>
  <c r="E122" i="49" s="1"/>
  <c r="G50" i="49"/>
  <c r="G122" i="49" s="1"/>
  <c r="E51" i="49"/>
  <c r="E123" i="49" s="1"/>
  <c r="F43" i="49"/>
  <c r="F115" i="49" s="1"/>
  <c r="H50" i="49"/>
  <c r="H122" i="49" s="1"/>
  <c r="F50" i="49"/>
  <c r="F122" i="49" s="1"/>
  <c r="H226" i="31"/>
  <c r="F75" i="31"/>
  <c r="F86" i="31" s="1"/>
  <c r="F196" i="31" s="1"/>
  <c r="AD124" i="31"/>
  <c r="AD135" i="31" s="1"/>
  <c r="F148" i="31" s="1"/>
  <c r="G227" i="31"/>
  <c r="F220" i="31"/>
  <c r="G108" i="31"/>
  <c r="L108" i="31" s="1"/>
  <c r="F192" i="31"/>
  <c r="G224" i="31"/>
  <c r="H211" i="31"/>
  <c r="H223" i="31"/>
  <c r="F267" i="31"/>
  <c r="F133" i="31"/>
  <c r="F243" i="31" s="1"/>
  <c r="H138" i="31"/>
  <c r="H248" i="31" s="1"/>
  <c r="F208" i="31"/>
  <c r="AF128" i="31"/>
  <c r="AF139" i="31" s="1"/>
  <c r="H152" i="31" s="1"/>
  <c r="H79" i="31"/>
  <c r="H105" i="31" s="1"/>
  <c r="M105" i="31" s="1"/>
  <c r="AN127" i="31"/>
  <c r="AN138" i="31" s="1"/>
  <c r="AF127" i="31"/>
  <c r="AF138" i="31" s="1"/>
  <c r="AE128" i="31"/>
  <c r="AE139" i="31" s="1"/>
  <c r="H224" i="31"/>
  <c r="AM128" i="31"/>
  <c r="AM139" i="31" s="1"/>
  <c r="N133" i="31"/>
  <c r="F146" i="31" s="1"/>
  <c r="F291" i="31" s="1"/>
  <c r="F138" i="31"/>
  <c r="F248" i="31" s="1"/>
  <c r="F100" i="31"/>
  <c r="K100" i="31" s="1"/>
  <c r="F212" i="31"/>
  <c r="AL123" i="31"/>
  <c r="AL134" i="31" s="1"/>
  <c r="F147" i="31" s="1"/>
  <c r="F292" i="31" s="1"/>
  <c r="F207" i="31"/>
  <c r="F255" i="31"/>
  <c r="AL128" i="31"/>
  <c r="AL139" i="31" s="1"/>
  <c r="AD128" i="31"/>
  <c r="AD139" i="31" s="1"/>
  <c r="K46" i="40"/>
  <c r="I46" i="40"/>
  <c r="J302" i="32"/>
  <c r="O23" i="40" s="1"/>
  <c r="E300" i="31"/>
  <c r="E180" i="31"/>
  <c r="F112" i="47"/>
  <c r="M108" i="31"/>
  <c r="J108" i="31"/>
  <c r="K108" i="31"/>
  <c r="G242" i="32"/>
  <c r="J242" i="32" s="1"/>
  <c r="J238" i="34"/>
  <c r="N21" i="40" s="1"/>
  <c r="J274" i="34"/>
  <c r="H169" i="35"/>
  <c r="H178" i="35" s="1"/>
  <c r="J178" i="35" s="1"/>
  <c r="Q35" i="40" s="1"/>
  <c r="G269" i="30"/>
  <c r="F269" i="30"/>
  <c r="J185" i="30"/>
  <c r="P24" i="40" s="1"/>
  <c r="H111" i="43"/>
  <c r="H156" i="43" s="1"/>
  <c r="H161" i="43" s="1"/>
  <c r="J226" i="34"/>
  <c r="F183" i="45"/>
  <c r="E50" i="47"/>
  <c r="E122" i="47" s="1"/>
  <c r="F50" i="47"/>
  <c r="F122" i="47" s="1"/>
  <c r="F43" i="47"/>
  <c r="F115" i="47" s="1"/>
  <c r="G50" i="47"/>
  <c r="G122" i="47" s="1"/>
  <c r="H50" i="47"/>
  <c r="H122" i="47" s="1"/>
  <c r="F227" i="33"/>
  <c r="E227" i="33"/>
  <c r="E222" i="33"/>
  <c r="F221" i="33"/>
  <c r="E229" i="33"/>
  <c r="E223" i="33"/>
  <c r="F224" i="33"/>
  <c r="F229" i="33"/>
  <c r="F225" i="33"/>
  <c r="E225" i="33"/>
  <c r="E226" i="33"/>
  <c r="F222" i="33"/>
  <c r="E224" i="33"/>
  <c r="E135" i="33"/>
  <c r="E233" i="33" s="1"/>
  <c r="E245" i="33" s="1"/>
  <c r="F223" i="33"/>
  <c r="F224" i="30"/>
  <c r="F232" i="30"/>
  <c r="G238" i="31"/>
  <c r="H269" i="30"/>
  <c r="G227" i="30"/>
  <c r="F230" i="30"/>
  <c r="F272" i="30"/>
  <c r="G228" i="30"/>
  <c r="F238" i="31"/>
  <c r="H231" i="31"/>
  <c r="H234" i="31"/>
  <c r="G113" i="32"/>
  <c r="L113" i="32" s="1"/>
  <c r="F111" i="43"/>
  <c r="F156" i="43" s="1"/>
  <c r="F161" i="43" s="1"/>
  <c r="G290" i="32"/>
  <c r="J290" i="32" s="1"/>
  <c r="F270" i="31"/>
  <c r="G231" i="30"/>
  <c r="G254" i="32"/>
  <c r="J254" i="32" s="1"/>
  <c r="N23" i="40" s="1"/>
  <c r="G221" i="30"/>
  <c r="F229" i="30"/>
  <c r="H229" i="30"/>
  <c r="F234" i="31"/>
  <c r="E117" i="34"/>
  <c r="J117" i="34" s="1"/>
  <c r="H272" i="30"/>
  <c r="F274" i="30"/>
  <c r="G270" i="31"/>
  <c r="G230" i="30"/>
  <c r="G225" i="30"/>
  <c r="G237" i="31"/>
  <c r="H279" i="31"/>
  <c r="H228" i="30"/>
  <c r="F121" i="32"/>
  <c r="K121" i="32" s="1"/>
  <c r="F109" i="34"/>
  <c r="K109" i="34" s="1"/>
  <c r="H232" i="30"/>
  <c r="F231" i="30"/>
  <c r="G274" i="30"/>
  <c r="G273" i="30"/>
  <c r="F273" i="30"/>
  <c r="G272" i="30"/>
  <c r="H268" i="31"/>
  <c r="H221" i="30"/>
  <c r="H227" i="30"/>
  <c r="F227" i="30"/>
  <c r="H226" i="30"/>
  <c r="H235" i="31"/>
  <c r="F275" i="31"/>
  <c r="H224" i="30"/>
  <c r="G224" i="30"/>
  <c r="H231" i="30"/>
  <c r="G226" i="30"/>
  <c r="F226" i="30"/>
  <c r="F237" i="31"/>
  <c r="H113" i="32"/>
  <c r="M113" i="32" s="1"/>
  <c r="H274" i="30"/>
  <c r="H273" i="30"/>
  <c r="E121" i="32"/>
  <c r="J121" i="32" s="1"/>
  <c r="H271" i="31"/>
  <c r="F221" i="30"/>
  <c r="F232" i="31"/>
  <c r="G229" i="30"/>
  <c r="H230" i="30"/>
  <c r="H225" i="30"/>
  <c r="G233" i="31"/>
  <c r="F225" i="30"/>
  <c r="F228" i="30"/>
  <c r="G232" i="30"/>
  <c r="F274" i="31"/>
  <c r="G275" i="31"/>
  <c r="H104" i="30"/>
  <c r="M104" i="30" s="1"/>
  <c r="J82" i="43"/>
  <c r="E54" i="45"/>
  <c r="F101" i="45"/>
  <c r="F186" i="45" s="1"/>
  <c r="F198" i="45" s="1"/>
  <c r="E52" i="45"/>
  <c r="E63" i="45" s="1"/>
  <c r="E173" i="45" s="1"/>
  <c r="E101" i="45"/>
  <c r="E186" i="45" s="1"/>
  <c r="E198" i="45" s="1"/>
  <c r="F54" i="45"/>
  <c r="F65" i="45" s="1"/>
  <c r="F175" i="45" s="1"/>
  <c r="F51" i="45"/>
  <c r="F77" i="45" s="1"/>
  <c r="K77" i="45" s="1"/>
  <c r="E51" i="45"/>
  <c r="E62" i="45" s="1"/>
  <c r="E172" i="45" s="1"/>
  <c r="F52" i="45"/>
  <c r="F78" i="45" s="1"/>
  <c r="K78" i="45" s="1"/>
  <c r="F55" i="45"/>
  <c r="F81" i="45" s="1"/>
  <c r="K81" i="45" s="1"/>
  <c r="E104" i="45"/>
  <c r="E115" i="45" s="1"/>
  <c r="E58" i="45"/>
  <c r="E84" i="45" s="1"/>
  <c r="J84" i="45" s="1"/>
  <c r="E55" i="45"/>
  <c r="E98" i="45"/>
  <c r="F56" i="45"/>
  <c r="F67" i="45" s="1"/>
  <c r="F177" i="45" s="1"/>
  <c r="F58" i="45"/>
  <c r="F84" i="45" s="1"/>
  <c r="K84" i="45" s="1"/>
  <c r="F34" i="50"/>
  <c r="F105" i="50"/>
  <c r="F55" i="50"/>
  <c r="F66" i="50" s="1"/>
  <c r="F104" i="50"/>
  <c r="E62" i="50"/>
  <c r="E73" i="50" s="1"/>
  <c r="E32" i="50"/>
  <c r="E37" i="50"/>
  <c r="E57" i="49"/>
  <c r="E68" i="49" s="1"/>
  <c r="E154" i="49" s="1"/>
  <c r="E166" i="49" s="1"/>
  <c r="E60" i="49"/>
  <c r="E133" i="49" s="1"/>
  <c r="E145" i="49" s="1"/>
  <c r="F59" i="49"/>
  <c r="F132" i="49" s="1"/>
  <c r="F144" i="49" s="1"/>
  <c r="F60" i="48"/>
  <c r="F71" i="48" s="1"/>
  <c r="F157" i="48" s="1"/>
  <c r="F169" i="48" s="1"/>
  <c r="E57" i="48"/>
  <c r="F58" i="48"/>
  <c r="E40" i="48"/>
  <c r="E51" i="48" s="1"/>
  <c r="E123" i="48" s="1"/>
  <c r="E59" i="48"/>
  <c r="F33" i="48"/>
  <c r="F44" i="48" s="1"/>
  <c r="F116" i="48" s="1"/>
  <c r="F137" i="33"/>
  <c r="F235" i="33" s="1"/>
  <c r="F247" i="33" s="1"/>
  <c r="E136" i="33"/>
  <c r="E234" i="33" s="1"/>
  <c r="E246" i="33" s="1"/>
  <c r="J39" i="33"/>
  <c r="F141" i="33"/>
  <c r="F239" i="33" s="1"/>
  <c r="F251" i="33" s="1"/>
  <c r="H105" i="32"/>
  <c r="M105" i="32" s="1"/>
  <c r="E288" i="31"/>
  <c r="G277" i="30"/>
  <c r="F278" i="30"/>
  <c r="H279" i="30"/>
  <c r="G279" i="30"/>
  <c r="H275" i="30"/>
  <c r="G278" i="30"/>
  <c r="F277" i="30"/>
  <c r="H277" i="30"/>
  <c r="H278" i="30"/>
  <c r="G275" i="30"/>
  <c r="F280" i="30"/>
  <c r="G276" i="30"/>
  <c r="F279" i="30"/>
  <c r="F275" i="30"/>
  <c r="G280" i="30"/>
  <c r="F276" i="30"/>
  <c r="H276" i="30"/>
  <c r="H280" i="30"/>
  <c r="F257" i="30"/>
  <c r="G257" i="30"/>
  <c r="H257" i="30"/>
  <c r="H209" i="30"/>
  <c r="F209" i="30"/>
  <c r="G209" i="30"/>
  <c r="F92" i="31"/>
  <c r="F202" i="31" s="1"/>
  <c r="G86" i="31"/>
  <c r="G196" i="31" s="1"/>
  <c r="G101" i="31"/>
  <c r="L101" i="31" s="1"/>
  <c r="G104" i="30"/>
  <c r="L104" i="30" s="1"/>
  <c r="G105" i="31"/>
  <c r="L105" i="31" s="1"/>
  <c r="E138" i="33"/>
  <c r="E236" i="33" s="1"/>
  <c r="E248" i="33" s="1"/>
  <c r="F140" i="33"/>
  <c r="F238" i="33" s="1"/>
  <c r="F250" i="33" s="1"/>
  <c r="G151" i="31"/>
  <c r="G260" i="31"/>
  <c r="E141" i="33"/>
  <c r="E239" i="33" s="1"/>
  <c r="E251" i="33" s="1"/>
  <c r="F87" i="31"/>
  <c r="F197" i="31" s="1"/>
  <c r="F103" i="31"/>
  <c r="K103" i="31" s="1"/>
  <c r="F88" i="31"/>
  <c r="F198" i="31" s="1"/>
  <c r="G102" i="31"/>
  <c r="L102" i="31" s="1"/>
  <c r="F105" i="31"/>
  <c r="K105" i="31" s="1"/>
  <c r="F153" i="31"/>
  <c r="E143" i="33"/>
  <c r="E241" i="33" s="1"/>
  <c r="E253" i="33" s="1"/>
  <c r="H102" i="31"/>
  <c r="M102" i="31" s="1"/>
  <c r="G147" i="31"/>
  <c r="G292" i="31" s="1"/>
  <c r="H150" i="31"/>
  <c r="H259" i="31"/>
  <c r="M55" i="47"/>
  <c r="AC55" i="47"/>
  <c r="AC66" i="47" s="1"/>
  <c r="U55" i="47"/>
  <c r="U66" i="47" s="1"/>
  <c r="AK55" i="47"/>
  <c r="AK66" i="47" s="1"/>
  <c r="F62" i="47"/>
  <c r="F73" i="47" s="1"/>
  <c r="F159" i="47" s="1"/>
  <c r="F171" i="47" s="1"/>
  <c r="V62" i="47"/>
  <c r="V73" i="47" s="1"/>
  <c r="N62" i="47"/>
  <c r="AL62" i="47"/>
  <c r="AL73" i="47" s="1"/>
  <c r="AD62" i="47"/>
  <c r="AD73" i="47" s="1"/>
  <c r="AD60" i="47"/>
  <c r="AD71" i="47" s="1"/>
  <c r="AL60" i="47"/>
  <c r="AL71" i="47" s="1"/>
  <c r="N60" i="47"/>
  <c r="V60" i="47"/>
  <c r="V71" i="47" s="1"/>
  <c r="AL58" i="47"/>
  <c r="AL69" i="47" s="1"/>
  <c r="N58" i="47"/>
  <c r="V58" i="47"/>
  <c r="V69" i="47" s="1"/>
  <c r="AD58" i="47"/>
  <c r="AD69" i="47" s="1"/>
  <c r="E262" i="33"/>
  <c r="E274" i="33" s="1"/>
  <c r="M140" i="33"/>
  <c r="E153" i="33" s="1"/>
  <c r="H125" i="33"/>
  <c r="H210" i="33" s="1"/>
  <c r="AN125" i="33"/>
  <c r="AN136" i="33" s="1"/>
  <c r="P125" i="33"/>
  <c r="AF125" i="33"/>
  <c r="AF136" i="33" s="1"/>
  <c r="X125" i="33"/>
  <c r="X136" i="33" s="1"/>
  <c r="F259" i="33"/>
  <c r="F271" i="33" s="1"/>
  <c r="N137" i="33"/>
  <c r="F150" i="33" s="1"/>
  <c r="F283" i="33" s="1"/>
  <c r="F295" i="33" s="1"/>
  <c r="E258" i="33"/>
  <c r="E270" i="33" s="1"/>
  <c r="M136" i="33"/>
  <c r="E149" i="33" s="1"/>
  <c r="E282" i="33" s="1"/>
  <c r="E294" i="33" s="1"/>
  <c r="H147" i="31"/>
  <c r="H292" i="31" s="1"/>
  <c r="G128" i="33"/>
  <c r="G213" i="33" s="1"/>
  <c r="AM128" i="33"/>
  <c r="AM139" i="33" s="1"/>
  <c r="O128" i="33"/>
  <c r="W128" i="33"/>
  <c r="W139" i="33" s="1"/>
  <c r="AE128" i="33"/>
  <c r="AE139" i="33" s="1"/>
  <c r="H256" i="31"/>
  <c r="E260" i="33"/>
  <c r="E272" i="33" s="1"/>
  <c r="M138" i="33"/>
  <c r="E151" i="33" s="1"/>
  <c r="F262" i="33"/>
  <c r="F274" i="33" s="1"/>
  <c r="N140" i="33"/>
  <c r="F153" i="33" s="1"/>
  <c r="F262" i="31"/>
  <c r="G126" i="33"/>
  <c r="G211" i="33" s="1"/>
  <c r="O126" i="33"/>
  <c r="W126" i="33"/>
  <c r="W137" i="33" s="1"/>
  <c r="AE126" i="33"/>
  <c r="AE137" i="33" s="1"/>
  <c r="AM126" i="33"/>
  <c r="AM137" i="33" s="1"/>
  <c r="F143" i="33"/>
  <c r="F241" i="33" s="1"/>
  <c r="F253" i="33" s="1"/>
  <c r="E140" i="33"/>
  <c r="E238" i="33" s="1"/>
  <c r="E250" i="33" s="1"/>
  <c r="E36" i="47"/>
  <c r="AC58" i="47"/>
  <c r="AC69" i="47" s="1"/>
  <c r="AK58" i="47"/>
  <c r="AK69" i="47" s="1"/>
  <c r="U58" i="47"/>
  <c r="U69" i="47" s="1"/>
  <c r="M58" i="47"/>
  <c r="G130" i="33"/>
  <c r="G215" i="33" s="1"/>
  <c r="AE130" i="33"/>
  <c r="AE141" i="33" s="1"/>
  <c r="AM130" i="33"/>
  <c r="AM141" i="33" s="1"/>
  <c r="O130" i="33"/>
  <c r="W130" i="33"/>
  <c r="W141" i="33" s="1"/>
  <c r="H92" i="31"/>
  <c r="H202" i="31" s="1"/>
  <c r="E62" i="47"/>
  <c r="E73" i="47" s="1"/>
  <c r="E159" i="47" s="1"/>
  <c r="E171" i="47" s="1"/>
  <c r="M62" i="47"/>
  <c r="U62" i="47"/>
  <c r="U73" i="47" s="1"/>
  <c r="AC62" i="47"/>
  <c r="AC73" i="47" s="1"/>
  <c r="AK62" i="47"/>
  <c r="AK73" i="47" s="1"/>
  <c r="G154" i="31"/>
  <c r="E263" i="33"/>
  <c r="E275" i="33" s="1"/>
  <c r="M141" i="33"/>
  <c r="E154" i="33" s="1"/>
  <c r="E265" i="33"/>
  <c r="E277" i="33" s="1"/>
  <c r="M143" i="33"/>
  <c r="E156" i="33" s="1"/>
  <c r="H132" i="33"/>
  <c r="H217" i="33" s="1"/>
  <c r="X132" i="33"/>
  <c r="X143" i="33" s="1"/>
  <c r="AN132" i="33"/>
  <c r="AN143" i="33" s="1"/>
  <c r="P132" i="33"/>
  <c r="AF132" i="33"/>
  <c r="AF143" i="33" s="1"/>
  <c r="AK56" i="47"/>
  <c r="AK67" i="47" s="1"/>
  <c r="U56" i="47"/>
  <c r="U67" i="47" s="1"/>
  <c r="AC56" i="47"/>
  <c r="AC67" i="47" s="1"/>
  <c r="M56" i="47"/>
  <c r="H127" i="33"/>
  <c r="H212" i="33" s="1"/>
  <c r="AF127" i="33"/>
  <c r="AF138" i="33" s="1"/>
  <c r="X127" i="33"/>
  <c r="X138" i="33" s="1"/>
  <c r="AN127" i="33"/>
  <c r="AN138" i="33" s="1"/>
  <c r="P127" i="33"/>
  <c r="E32" i="47"/>
  <c r="E43" i="47" s="1"/>
  <c r="E115" i="47" s="1"/>
  <c r="AK54" i="47"/>
  <c r="AK65" i="47" s="1"/>
  <c r="U54" i="47"/>
  <c r="U65" i="47" s="1"/>
  <c r="AC54" i="47"/>
  <c r="AC65" i="47" s="1"/>
  <c r="AD55" i="47"/>
  <c r="AD66" i="47" s="1"/>
  <c r="V55" i="47"/>
  <c r="V66" i="47" s="1"/>
  <c r="N55" i="47"/>
  <c r="AL55" i="47"/>
  <c r="AL66" i="47" s="1"/>
  <c r="H129" i="33"/>
  <c r="H214" i="33" s="1"/>
  <c r="X129" i="33"/>
  <c r="X140" i="33" s="1"/>
  <c r="AN129" i="33"/>
  <c r="AN140" i="33" s="1"/>
  <c r="AF129" i="33"/>
  <c r="AF140" i="33" s="1"/>
  <c r="P129" i="33"/>
  <c r="M57" i="47"/>
  <c r="U57" i="47"/>
  <c r="U68" i="47" s="1"/>
  <c r="AK57" i="47"/>
  <c r="AK68" i="47" s="1"/>
  <c r="AC57" i="47"/>
  <c r="AC68" i="47" s="1"/>
  <c r="F56" i="47"/>
  <c r="F67" i="47" s="1"/>
  <c r="F153" i="47" s="1"/>
  <c r="F165" i="47" s="1"/>
  <c r="AD56" i="47"/>
  <c r="AD67" i="47" s="1"/>
  <c r="AL56" i="47"/>
  <c r="AL67" i="47" s="1"/>
  <c r="N56" i="47"/>
  <c r="V56" i="47"/>
  <c r="V67" i="47" s="1"/>
  <c r="F260" i="33"/>
  <c r="F272" i="33" s="1"/>
  <c r="N138" i="33"/>
  <c r="F151" i="33" s="1"/>
  <c r="H128" i="33"/>
  <c r="H213" i="33" s="1"/>
  <c r="X128" i="33"/>
  <c r="X139" i="33" s="1"/>
  <c r="AN128" i="33"/>
  <c r="AN139" i="33" s="1"/>
  <c r="P128" i="33"/>
  <c r="AF128" i="33"/>
  <c r="AF139" i="33" s="1"/>
  <c r="F135" i="33"/>
  <c r="F233" i="33" s="1"/>
  <c r="F245" i="33" s="1"/>
  <c r="V57" i="47"/>
  <c r="V68" i="47" s="1"/>
  <c r="N57" i="47"/>
  <c r="AL57" i="47"/>
  <c r="AL68" i="47" s="1"/>
  <c r="AD57" i="47"/>
  <c r="AD68" i="47" s="1"/>
  <c r="F265" i="33"/>
  <c r="F277" i="33" s="1"/>
  <c r="N143" i="33"/>
  <c r="F156" i="33" s="1"/>
  <c r="H130" i="33"/>
  <c r="H215" i="33" s="1"/>
  <c r="AN130" i="33"/>
  <c r="AN141" i="33" s="1"/>
  <c r="P130" i="33"/>
  <c r="X130" i="33"/>
  <c r="X141" i="33" s="1"/>
  <c r="AF130" i="33"/>
  <c r="AF141" i="33" s="1"/>
  <c r="F263" i="33"/>
  <c r="F275" i="33" s="1"/>
  <c r="N141" i="33"/>
  <c r="F154" i="33" s="1"/>
  <c r="F139" i="33"/>
  <c r="F237" i="33" s="1"/>
  <c r="F249" i="33" s="1"/>
  <c r="E139" i="33"/>
  <c r="E237" i="33" s="1"/>
  <c r="E249" i="33" s="1"/>
  <c r="F258" i="33"/>
  <c r="F270" i="33" s="1"/>
  <c r="N136" i="33"/>
  <c r="F149" i="33" s="1"/>
  <c r="F282" i="33" s="1"/>
  <c r="F294" i="33" s="1"/>
  <c r="G125" i="33"/>
  <c r="G210" i="33" s="1"/>
  <c r="W125" i="33"/>
  <c r="W136" i="33" s="1"/>
  <c r="AE125" i="33"/>
  <c r="AE136" i="33" s="1"/>
  <c r="AM125" i="33"/>
  <c r="AM136" i="33" s="1"/>
  <c r="O125" i="33"/>
  <c r="H89" i="31"/>
  <c r="H199" i="31" s="1"/>
  <c r="G124" i="33"/>
  <c r="G209" i="33" s="1"/>
  <c r="G76" i="33"/>
  <c r="W124" i="33"/>
  <c r="W135" i="33" s="1"/>
  <c r="O124" i="33"/>
  <c r="AM124" i="33"/>
  <c r="AM135" i="33" s="1"/>
  <c r="AE124" i="33"/>
  <c r="AE135" i="33" s="1"/>
  <c r="G129" i="33"/>
  <c r="G214" i="33" s="1"/>
  <c r="AE129" i="33"/>
  <c r="AE140" i="33" s="1"/>
  <c r="AM129" i="33"/>
  <c r="AM140" i="33" s="1"/>
  <c r="O129" i="33"/>
  <c r="W129" i="33"/>
  <c r="W140" i="33" s="1"/>
  <c r="F138" i="33"/>
  <c r="F236" i="33" s="1"/>
  <c r="F248" i="33" s="1"/>
  <c r="H86" i="31"/>
  <c r="H196" i="31" s="1"/>
  <c r="G263" i="31"/>
  <c r="F257" i="33"/>
  <c r="F269" i="33" s="1"/>
  <c r="N135" i="33"/>
  <c r="F148" i="33" s="1"/>
  <c r="F281" i="33" s="1"/>
  <c r="F293" i="33" s="1"/>
  <c r="H124" i="33"/>
  <c r="H209" i="33" s="1"/>
  <c r="H76" i="33"/>
  <c r="P124" i="33"/>
  <c r="AF124" i="33"/>
  <c r="AF135" i="33" s="1"/>
  <c r="X124" i="33"/>
  <c r="X135" i="33" s="1"/>
  <c r="AN124" i="33"/>
  <c r="AN135" i="33" s="1"/>
  <c r="G127" i="33"/>
  <c r="G212" i="33" s="1"/>
  <c r="AM127" i="33"/>
  <c r="AM138" i="33" s="1"/>
  <c r="O127" i="33"/>
  <c r="W127" i="33"/>
  <c r="W138" i="33" s="1"/>
  <c r="AE127" i="33"/>
  <c r="AE138" i="33" s="1"/>
  <c r="G92" i="31"/>
  <c r="G202" i="31" s="1"/>
  <c r="F149" i="31"/>
  <c r="F154" i="31"/>
  <c r="G149" i="31"/>
  <c r="H126" i="33"/>
  <c r="H211" i="33" s="1"/>
  <c r="X126" i="33"/>
  <c r="X137" i="33" s="1"/>
  <c r="AN126" i="33"/>
  <c r="AN137" i="33" s="1"/>
  <c r="P126" i="33"/>
  <c r="AF126" i="33"/>
  <c r="AF137" i="33" s="1"/>
  <c r="G132" i="33"/>
  <c r="G217" i="33" s="1"/>
  <c r="O132" i="33"/>
  <c r="AE132" i="33"/>
  <c r="AE143" i="33" s="1"/>
  <c r="AM132" i="33"/>
  <c r="AM143" i="33" s="1"/>
  <c r="W132" i="33"/>
  <c r="W143" i="33" s="1"/>
  <c r="F136" i="33"/>
  <c r="F234" i="33" s="1"/>
  <c r="F246" i="33" s="1"/>
  <c r="E137" i="33"/>
  <c r="E235" i="33" s="1"/>
  <c r="E247" i="33" s="1"/>
  <c r="AL59" i="47"/>
  <c r="AL70" i="47" s="1"/>
  <c r="V59" i="47"/>
  <c r="V70" i="47" s="1"/>
  <c r="AD59" i="47"/>
  <c r="AD70" i="47" s="1"/>
  <c r="N59" i="47"/>
  <c r="E59" i="47"/>
  <c r="E132" i="47" s="1"/>
  <c r="E144" i="47" s="1"/>
  <c r="M59" i="47"/>
  <c r="U59" i="47"/>
  <c r="U70" i="47" s="1"/>
  <c r="AK59" i="47"/>
  <c r="AK70" i="47" s="1"/>
  <c r="AC59" i="47"/>
  <c r="AC70" i="47" s="1"/>
  <c r="E60" i="47"/>
  <c r="E71" i="47" s="1"/>
  <c r="E157" i="47" s="1"/>
  <c r="E169" i="47" s="1"/>
  <c r="AC60" i="47"/>
  <c r="AC71" i="47" s="1"/>
  <c r="AK60" i="47"/>
  <c r="AK71" i="47" s="1"/>
  <c r="U60" i="47"/>
  <c r="U71" i="47" s="1"/>
  <c r="M60" i="47"/>
  <c r="F258" i="31"/>
  <c r="F261" i="33"/>
  <c r="F273" i="33" s="1"/>
  <c r="N139" i="33"/>
  <c r="F152" i="33" s="1"/>
  <c r="E261" i="33"/>
  <c r="E273" i="33" s="1"/>
  <c r="M139" i="33"/>
  <c r="E152" i="33" s="1"/>
  <c r="E259" i="33"/>
  <c r="E271" i="33" s="1"/>
  <c r="M137" i="33"/>
  <c r="E150" i="33" s="1"/>
  <c r="E283" i="33" s="1"/>
  <c r="E295" i="33" s="1"/>
  <c r="F263" i="31"/>
  <c r="G258" i="31"/>
  <c r="E38" i="47"/>
  <c r="E38" i="49"/>
  <c r="E54" i="50"/>
  <c r="E65" i="50" s="1"/>
  <c r="E151" i="50" s="1"/>
  <c r="E163" i="50" s="1"/>
  <c r="F100" i="45"/>
  <c r="F111" i="45" s="1"/>
  <c r="F209" i="45" s="1"/>
  <c r="F221" i="45" s="1"/>
  <c r="E56" i="45"/>
  <c r="E58" i="47"/>
  <c r="E69" i="47" s="1"/>
  <c r="E155" i="47" s="1"/>
  <c r="E167" i="47" s="1"/>
  <c r="E50" i="45"/>
  <c r="F104" i="45"/>
  <c r="F115" i="45" s="1"/>
  <c r="F33" i="50"/>
  <c r="F40" i="47"/>
  <c r="F34" i="47"/>
  <c r="E37" i="48"/>
  <c r="E48" i="48" s="1"/>
  <c r="E120" i="48" s="1"/>
  <c r="E59" i="50"/>
  <c r="E70" i="50" s="1"/>
  <c r="F37" i="49"/>
  <c r="E106" i="45"/>
  <c r="E117" i="45" s="1"/>
  <c r="E40" i="50"/>
  <c r="E35" i="49"/>
  <c r="F56" i="50"/>
  <c r="F129" i="50" s="1"/>
  <c r="F141" i="50" s="1"/>
  <c r="F38" i="48"/>
  <c r="F49" i="48" s="1"/>
  <c r="F121" i="48" s="1"/>
  <c r="F99" i="45"/>
  <c r="F184" i="45" s="1"/>
  <c r="F196" i="45" s="1"/>
  <c r="F55" i="48"/>
  <c r="E35" i="48"/>
  <c r="E46" i="48" s="1"/>
  <c r="E118" i="48" s="1"/>
  <c r="E40" i="47"/>
  <c r="E62" i="48"/>
  <c r="F36" i="48"/>
  <c r="F47" i="48" s="1"/>
  <c r="F119" i="48" s="1"/>
  <c r="E37" i="47"/>
  <c r="F103" i="45"/>
  <c r="F188" i="45" s="1"/>
  <c r="F200" i="45" s="1"/>
  <c r="E53" i="45"/>
  <c r="E64" i="45" s="1"/>
  <c r="E174" i="45" s="1"/>
  <c r="E100" i="45"/>
  <c r="E111" i="45" s="1"/>
  <c r="E209" i="45" s="1"/>
  <c r="E221" i="45" s="1"/>
  <c r="F53" i="45"/>
  <c r="F64" i="45" s="1"/>
  <c r="F174" i="45" s="1"/>
  <c r="F102" i="45"/>
  <c r="F187" i="45" s="1"/>
  <c r="F199" i="45" s="1"/>
  <c r="H134" i="49"/>
  <c r="H146" i="49" s="1"/>
  <c r="H72" i="49"/>
  <c r="H158" i="49" s="1"/>
  <c r="H170" i="49" s="1"/>
  <c r="F57" i="49"/>
  <c r="F35" i="49"/>
  <c r="E56" i="48"/>
  <c r="E34" i="48"/>
  <c r="E45" i="48" s="1"/>
  <c r="E117" i="48" s="1"/>
  <c r="H116" i="29"/>
  <c r="H27" i="47"/>
  <c r="H109" i="47" s="1"/>
  <c r="H45" i="45"/>
  <c r="H165" i="45" s="1"/>
  <c r="H27" i="49"/>
  <c r="H27" i="48"/>
  <c r="H27" i="50"/>
  <c r="E102" i="45"/>
  <c r="E187" i="45" s="1"/>
  <c r="E199" i="45" s="1"/>
  <c r="E33" i="50"/>
  <c r="E55" i="50"/>
  <c r="H118" i="29"/>
  <c r="H29" i="48"/>
  <c r="H29" i="50"/>
  <c r="H29" i="47"/>
  <c r="H111" i="47" s="1"/>
  <c r="H47" i="45"/>
  <c r="H167" i="45" s="1"/>
  <c r="H29" i="49"/>
  <c r="F72" i="47"/>
  <c r="F158" i="47" s="1"/>
  <c r="F170" i="47" s="1"/>
  <c r="F134" i="47"/>
  <c r="F146" i="47" s="1"/>
  <c r="E59" i="49"/>
  <c r="E37" i="49"/>
  <c r="F72" i="49"/>
  <c r="F158" i="49" s="1"/>
  <c r="F170" i="49" s="1"/>
  <c r="F134" i="49"/>
  <c r="F146" i="49" s="1"/>
  <c r="F65" i="50"/>
  <c r="F127" i="50"/>
  <c r="F139" i="50" s="1"/>
  <c r="G134" i="50"/>
  <c r="G146" i="50" s="1"/>
  <c r="G72" i="50"/>
  <c r="H72" i="48"/>
  <c r="H158" i="48" s="1"/>
  <c r="H170" i="48" s="1"/>
  <c r="H134" i="48"/>
  <c r="H146" i="48" s="1"/>
  <c r="G118" i="29"/>
  <c r="G29" i="48"/>
  <c r="G29" i="50"/>
  <c r="G47" i="45"/>
  <c r="G167" i="45" s="1"/>
  <c r="G29" i="49"/>
  <c r="G29" i="47"/>
  <c r="G111" i="47" s="1"/>
  <c r="E56" i="50"/>
  <c r="E34" i="50"/>
  <c r="G72" i="47"/>
  <c r="G158" i="47" s="1"/>
  <c r="G170" i="47" s="1"/>
  <c r="G134" i="47"/>
  <c r="G146" i="47" s="1"/>
  <c r="E134" i="49"/>
  <c r="E146" i="49" s="1"/>
  <c r="E72" i="49"/>
  <c r="E158" i="49" s="1"/>
  <c r="E170" i="49" s="1"/>
  <c r="F59" i="50"/>
  <c r="F37" i="50"/>
  <c r="F58" i="49"/>
  <c r="F36" i="49"/>
  <c r="H114" i="29"/>
  <c r="H25" i="47"/>
  <c r="H107" i="47" s="1"/>
  <c r="H25" i="48"/>
  <c r="H43" i="45"/>
  <c r="H163" i="45" s="1"/>
  <c r="H25" i="49"/>
  <c r="H25" i="50"/>
  <c r="E99" i="45"/>
  <c r="E184" i="45" s="1"/>
  <c r="E196" i="45" s="1"/>
  <c r="F106" i="45"/>
  <c r="F117" i="45" s="1"/>
  <c r="G134" i="49"/>
  <c r="G146" i="49" s="1"/>
  <c r="G72" i="49"/>
  <c r="G158" i="49" s="1"/>
  <c r="G170" i="49" s="1"/>
  <c r="F65" i="49"/>
  <c r="F151" i="49" s="1"/>
  <c r="F163" i="49" s="1"/>
  <c r="F127" i="49"/>
  <c r="F139" i="49" s="1"/>
  <c r="F56" i="49"/>
  <c r="F34" i="49"/>
  <c r="F62" i="49"/>
  <c r="F40" i="49"/>
  <c r="E134" i="48"/>
  <c r="E146" i="48" s="1"/>
  <c r="E72" i="48"/>
  <c r="E158" i="48" s="1"/>
  <c r="E170" i="48" s="1"/>
  <c r="H39" i="45"/>
  <c r="H159" i="45" s="1"/>
  <c r="H21" i="49"/>
  <c r="H21" i="50"/>
  <c r="H21" i="48"/>
  <c r="H21" i="47"/>
  <c r="H103" i="47" s="1"/>
  <c r="E60" i="48"/>
  <c r="E38" i="48"/>
  <c r="E49" i="48" s="1"/>
  <c r="E121" i="48" s="1"/>
  <c r="E54" i="47"/>
  <c r="E65" i="47" s="1"/>
  <c r="H113" i="29"/>
  <c r="H24" i="47"/>
  <c r="H106" i="47" s="1"/>
  <c r="H42" i="45"/>
  <c r="H162" i="45" s="1"/>
  <c r="H24" i="48"/>
  <c r="H24" i="49"/>
  <c r="H24" i="50"/>
  <c r="E54" i="49"/>
  <c r="E127" i="49" s="1"/>
  <c r="E139" i="49" s="1"/>
  <c r="E32" i="49"/>
  <c r="E43" i="49" s="1"/>
  <c r="E115" i="49" s="1"/>
  <c r="F60" i="49"/>
  <c r="F38" i="49"/>
  <c r="H115" i="29"/>
  <c r="H26" i="50"/>
  <c r="H44" i="45"/>
  <c r="H164" i="45" s="1"/>
  <c r="H26" i="48"/>
  <c r="H26" i="47"/>
  <c r="H108" i="47" s="1"/>
  <c r="H26" i="49"/>
  <c r="F35" i="50"/>
  <c r="F57" i="50"/>
  <c r="G114" i="29"/>
  <c r="G25" i="47"/>
  <c r="G107" i="47" s="1"/>
  <c r="G25" i="50"/>
  <c r="G25" i="48"/>
  <c r="G25" i="49"/>
  <c r="G43" i="45"/>
  <c r="G163" i="45" s="1"/>
  <c r="G112" i="29"/>
  <c r="G23" i="47"/>
  <c r="G105" i="47" s="1"/>
  <c r="G23" i="49"/>
  <c r="G23" i="50"/>
  <c r="G23" i="48"/>
  <c r="G41" i="45"/>
  <c r="G161" i="45" s="1"/>
  <c r="F62" i="48"/>
  <c r="F40" i="48"/>
  <c r="F51" i="48" s="1"/>
  <c r="F123" i="48" s="1"/>
  <c r="H72" i="47"/>
  <c r="H158" i="47" s="1"/>
  <c r="H170" i="47" s="1"/>
  <c r="H134" i="47"/>
  <c r="H146" i="47" s="1"/>
  <c r="E134" i="50"/>
  <c r="E146" i="50" s="1"/>
  <c r="E72" i="50"/>
  <c r="F134" i="50"/>
  <c r="F146" i="50" s="1"/>
  <c r="F72" i="50"/>
  <c r="E35" i="47"/>
  <c r="E57" i="47"/>
  <c r="F65" i="47"/>
  <c r="F127" i="47"/>
  <c r="F139" i="47" s="1"/>
  <c r="E72" i="47"/>
  <c r="E158" i="47" s="1"/>
  <c r="E170" i="47" s="1"/>
  <c r="E134" i="47"/>
  <c r="E146" i="47" s="1"/>
  <c r="E56" i="49"/>
  <c r="E34" i="49"/>
  <c r="E55" i="49"/>
  <c r="E33" i="49"/>
  <c r="G39" i="45"/>
  <c r="G159" i="45" s="1"/>
  <c r="G21" i="49"/>
  <c r="G21" i="47"/>
  <c r="G103" i="47" s="1"/>
  <c r="G21" i="48"/>
  <c r="G21" i="50"/>
  <c r="E103" i="45"/>
  <c r="E188" i="45" s="1"/>
  <c r="E200" i="45" s="1"/>
  <c r="F127" i="48"/>
  <c r="F139" i="48" s="1"/>
  <c r="F65" i="48"/>
  <c r="F151" i="48" s="1"/>
  <c r="E58" i="49"/>
  <c r="E36" i="49"/>
  <c r="F35" i="47"/>
  <c r="F57" i="47"/>
  <c r="E33" i="48"/>
  <c r="E44" i="48" s="1"/>
  <c r="E116" i="48" s="1"/>
  <c r="E55" i="48"/>
  <c r="E35" i="50"/>
  <c r="E57" i="50"/>
  <c r="H72" i="50"/>
  <c r="H134" i="50"/>
  <c r="H146" i="50" s="1"/>
  <c r="G113" i="29"/>
  <c r="G24" i="50"/>
  <c r="G24" i="47"/>
  <c r="G106" i="47" s="1"/>
  <c r="G24" i="48"/>
  <c r="G24" i="49"/>
  <c r="G42" i="45"/>
  <c r="G162" i="45" s="1"/>
  <c r="G111" i="29"/>
  <c r="G22" i="47"/>
  <c r="G104" i="47" s="1"/>
  <c r="G22" i="49"/>
  <c r="G22" i="48"/>
  <c r="G40" i="45"/>
  <c r="G160" i="45" s="1"/>
  <c r="G22" i="50"/>
  <c r="H112" i="29"/>
  <c r="H41" i="45"/>
  <c r="H161" i="45" s="1"/>
  <c r="H23" i="50"/>
  <c r="H23" i="48"/>
  <c r="H23" i="49"/>
  <c r="H23" i="47"/>
  <c r="H105" i="47" s="1"/>
  <c r="E119" i="31"/>
  <c r="E38" i="50"/>
  <c r="E60" i="50"/>
  <c r="E34" i="47"/>
  <c r="E56" i="47"/>
  <c r="F36" i="50"/>
  <c r="F58" i="50"/>
  <c r="F56" i="48"/>
  <c r="F34" i="48"/>
  <c r="F45" i="48" s="1"/>
  <c r="F117" i="48" s="1"/>
  <c r="F59" i="48"/>
  <c r="F37" i="48"/>
  <c r="F48" i="48" s="1"/>
  <c r="F120" i="48" s="1"/>
  <c r="F72" i="48"/>
  <c r="F158" i="48" s="1"/>
  <c r="F170" i="48" s="1"/>
  <c r="F134" i="48"/>
  <c r="F146" i="48" s="1"/>
  <c r="G72" i="48"/>
  <c r="G158" i="48" s="1"/>
  <c r="G170" i="48" s="1"/>
  <c r="G134" i="48"/>
  <c r="G146" i="48" s="1"/>
  <c r="E55" i="47"/>
  <c r="E33" i="47"/>
  <c r="F60" i="47"/>
  <c r="F38" i="47"/>
  <c r="F36" i="47"/>
  <c r="F58" i="47"/>
  <c r="E54" i="48"/>
  <c r="E32" i="48"/>
  <c r="E43" i="48" s="1"/>
  <c r="E115" i="48" s="1"/>
  <c r="F35" i="48"/>
  <c r="F46" i="48" s="1"/>
  <c r="F118" i="48" s="1"/>
  <c r="F57" i="48"/>
  <c r="F59" i="47"/>
  <c r="F37" i="47"/>
  <c r="E58" i="48"/>
  <c r="E36" i="48"/>
  <c r="E47" i="48" s="1"/>
  <c r="E119" i="48" s="1"/>
  <c r="H111" i="29"/>
  <c r="H22" i="49"/>
  <c r="H40" i="45"/>
  <c r="H160" i="45" s="1"/>
  <c r="H22" i="48"/>
  <c r="H22" i="47"/>
  <c r="H104" i="47" s="1"/>
  <c r="H22" i="50"/>
  <c r="G115" i="29"/>
  <c r="G26" i="48"/>
  <c r="G26" i="49"/>
  <c r="G26" i="50"/>
  <c r="G26" i="47"/>
  <c r="G108" i="47" s="1"/>
  <c r="G44" i="45"/>
  <c r="G164" i="45" s="1"/>
  <c r="G116" i="29"/>
  <c r="G27" i="47"/>
  <c r="G109" i="47" s="1"/>
  <c r="G27" i="50"/>
  <c r="G45" i="45"/>
  <c r="G165" i="45" s="1"/>
  <c r="G27" i="48"/>
  <c r="G27" i="49"/>
  <c r="E58" i="50"/>
  <c r="E36" i="50"/>
  <c r="F60" i="50"/>
  <c r="F38" i="50"/>
  <c r="F55" i="47"/>
  <c r="F33" i="47"/>
  <c r="F33" i="49"/>
  <c r="F55" i="49"/>
  <c r="F62" i="50"/>
  <c r="F40" i="50"/>
  <c r="E73" i="49"/>
  <c r="E159" i="49" s="1"/>
  <c r="E171" i="49" s="1"/>
  <c r="E135" i="49"/>
  <c r="E147" i="49" s="1"/>
  <c r="G116" i="45"/>
  <c r="G190" i="45"/>
  <c r="G202" i="45" s="1"/>
  <c r="H116" i="45"/>
  <c r="H190" i="45"/>
  <c r="H202" i="45" s="1"/>
  <c r="E116" i="45"/>
  <c r="E190" i="45"/>
  <c r="E202" i="45" s="1"/>
  <c r="F116" i="45"/>
  <c r="F190" i="45"/>
  <c r="F202" i="45" s="1"/>
  <c r="H83" i="45"/>
  <c r="M83" i="45" s="1"/>
  <c r="H68" i="45"/>
  <c r="H178" i="45" s="1"/>
  <c r="E68" i="45"/>
  <c r="E178" i="45" s="1"/>
  <c r="G83" i="45"/>
  <c r="L83" i="45" s="1"/>
  <c r="F83" i="45"/>
  <c r="K83" i="45" s="1"/>
  <c r="G68" i="45"/>
  <c r="G178" i="45" s="1"/>
  <c r="F68" i="45"/>
  <c r="F178" i="45" s="1"/>
  <c r="E83" i="45"/>
  <c r="J83" i="45" s="1"/>
  <c r="F61" i="45"/>
  <c r="F171" i="45" s="1"/>
  <c r="F76" i="45"/>
  <c r="K76" i="45" s="1"/>
  <c r="H34" i="35"/>
  <c r="G101" i="43"/>
  <c r="L101" i="43" s="1"/>
  <c r="G34" i="35"/>
  <c r="H87" i="43"/>
  <c r="H141" i="43" s="1"/>
  <c r="F87" i="43"/>
  <c r="F141" i="43" s="1"/>
  <c r="F96" i="43"/>
  <c r="F92" i="33"/>
  <c r="F202" i="33" s="1"/>
  <c r="F111" i="31"/>
  <c r="G113" i="31"/>
  <c r="H144" i="44"/>
  <c r="M144" i="44" s="1"/>
  <c r="G111" i="31"/>
  <c r="H111" i="31"/>
  <c r="G109" i="34"/>
  <c r="L109" i="34" s="1"/>
  <c r="G119" i="31"/>
  <c r="F113" i="32"/>
  <c r="K113" i="32" s="1"/>
  <c r="H109" i="34"/>
  <c r="M109" i="34" s="1"/>
  <c r="H103" i="31"/>
  <c r="M103" i="31" s="1"/>
  <c r="F91" i="33"/>
  <c r="F201" i="33" s="1"/>
  <c r="G112" i="34"/>
  <c r="L112" i="34" s="1"/>
  <c r="H113" i="31"/>
  <c r="G144" i="44"/>
  <c r="L144" i="44" s="1"/>
  <c r="H96" i="30"/>
  <c r="M96" i="30" s="1"/>
  <c r="F104" i="30"/>
  <c r="F116" i="31"/>
  <c r="G116" i="31"/>
  <c r="H119" i="31"/>
  <c r="E90" i="33"/>
  <c r="E200" i="33" s="1"/>
  <c r="F90" i="33"/>
  <c r="F200" i="33" s="1"/>
  <c r="F110" i="33"/>
  <c r="K110" i="33" s="1"/>
  <c r="F104" i="33"/>
  <c r="K104" i="33" s="1"/>
  <c r="F103" i="33"/>
  <c r="K103" i="33" s="1"/>
  <c r="F102" i="33"/>
  <c r="K102" i="33" s="1"/>
  <c r="F35" i="35"/>
  <c r="F144" i="29" s="1"/>
  <c r="F145" i="29" s="1"/>
  <c r="F17" i="44"/>
  <c r="F196" i="44" s="1"/>
  <c r="E110" i="33"/>
  <c r="J110" i="33" s="1"/>
  <c r="E35" i="35"/>
  <c r="E17" i="44"/>
  <c r="E196" i="44" s="1"/>
  <c r="E103" i="33"/>
  <c r="J103" i="33" s="1"/>
  <c r="E106" i="33"/>
  <c r="J106" i="33" s="1"/>
  <c r="E107" i="33"/>
  <c r="J107" i="33" s="1"/>
  <c r="E104" i="33"/>
  <c r="J104" i="33" s="1"/>
  <c r="E102" i="33"/>
  <c r="J102" i="33" s="1"/>
  <c r="H144" i="43"/>
  <c r="H109" i="43"/>
  <c r="H154" i="43" s="1"/>
  <c r="H94" i="43"/>
  <c r="H85" i="43"/>
  <c r="H139" i="43" s="1"/>
  <c r="J139" i="43" s="1"/>
  <c r="M42" i="40" s="1"/>
  <c r="G99" i="43"/>
  <c r="F88" i="33"/>
  <c r="F198" i="33" s="1"/>
  <c r="F89" i="33"/>
  <c r="F199" i="33" s="1"/>
  <c r="H88" i="31"/>
  <c r="H198" i="31" s="1"/>
  <c r="E95" i="33"/>
  <c r="E205" i="33" s="1"/>
  <c r="E92" i="33"/>
  <c r="E202" i="33" s="1"/>
  <c r="E91" i="33"/>
  <c r="E201" i="33" s="1"/>
  <c r="F95" i="33"/>
  <c r="F205" i="33" s="1"/>
  <c r="E88" i="33"/>
  <c r="E198" i="33" s="1"/>
  <c r="G43" i="33"/>
  <c r="G77" i="33" s="1"/>
  <c r="H42" i="33"/>
  <c r="G46" i="33"/>
  <c r="G80" i="33" s="1"/>
  <c r="G106" i="33" s="1"/>
  <c r="H45" i="33"/>
  <c r="H79" i="33" s="1"/>
  <c r="G48" i="33"/>
  <c r="H47" i="33"/>
  <c r="H81" i="33" s="1"/>
  <c r="G47" i="33"/>
  <c r="G81" i="33" s="1"/>
  <c r="H46" i="33"/>
  <c r="H80" i="33" s="1"/>
  <c r="H106" i="33" s="1"/>
  <c r="M106" i="33" s="1"/>
  <c r="G45" i="33"/>
  <c r="G79" i="33" s="1"/>
  <c r="G42" i="33"/>
  <c r="H50" i="33"/>
  <c r="H84" i="33" s="1"/>
  <c r="H48" i="33"/>
  <c r="E89" i="33"/>
  <c r="E199" i="33" s="1"/>
  <c r="G50" i="33"/>
  <c r="G84" i="33" s="1"/>
  <c r="G110" i="33" s="1"/>
  <c r="H44" i="33"/>
  <c r="H78" i="33" s="1"/>
  <c r="G44" i="33"/>
  <c r="G78" i="33" s="1"/>
  <c r="G104" i="33" s="1"/>
  <c r="H43" i="33"/>
  <c r="H77" i="33" s="1"/>
  <c r="F87" i="33"/>
  <c r="F197" i="33" s="1"/>
  <c r="J106" i="30"/>
  <c r="J108" i="30"/>
  <c r="K105" i="30"/>
  <c r="J107" i="30"/>
  <c r="K107" i="30"/>
  <c r="J105" i="30"/>
  <c r="M105" i="30"/>
  <c r="H110" i="29"/>
  <c r="G110" i="29"/>
  <c r="M101" i="34"/>
  <c r="H86" i="34"/>
  <c r="H184" i="34" s="1"/>
  <c r="H81" i="30"/>
  <c r="H191" i="30" s="1"/>
  <c r="H90" i="32"/>
  <c r="H200" i="32" s="1"/>
  <c r="M109" i="30"/>
  <c r="M111" i="30"/>
  <c r="M108" i="30"/>
  <c r="M112" i="30"/>
  <c r="K108" i="30"/>
  <c r="M106" i="30"/>
  <c r="K106" i="30"/>
  <c r="K111" i="30"/>
  <c r="L95" i="30"/>
  <c r="L105" i="30"/>
  <c r="L96" i="30"/>
  <c r="L98" i="30"/>
  <c r="L100" i="30"/>
  <c r="L94" i="30"/>
  <c r="L97" i="30"/>
  <c r="L101" i="30"/>
  <c r="L93" i="30"/>
  <c r="G272" i="31" l="1"/>
  <c r="F119" i="31"/>
  <c r="F239" i="31"/>
  <c r="F104" i="31"/>
  <c r="K104" i="31" s="1"/>
  <c r="G268" i="31"/>
  <c r="H269" i="31"/>
  <c r="G274" i="31"/>
  <c r="F233" i="31"/>
  <c r="H232" i="31"/>
  <c r="G262" i="31"/>
  <c r="H148" i="31"/>
  <c r="H293" i="31" s="1"/>
  <c r="G232" i="31"/>
  <c r="G89" i="31"/>
  <c r="G199" i="31" s="1"/>
  <c r="H257" i="31"/>
  <c r="G259" i="31"/>
  <c r="F150" i="31"/>
  <c r="F283" i="31" s="1"/>
  <c r="G256" i="31"/>
  <c r="G271" i="31"/>
  <c r="H239" i="31"/>
  <c r="G279" i="31"/>
  <c r="G148" i="31"/>
  <c r="G293" i="31" s="1"/>
  <c r="G234" i="31"/>
  <c r="J141" i="43"/>
  <c r="M44" i="40" s="1"/>
  <c r="H237" i="31"/>
  <c r="G269" i="31"/>
  <c r="F272" i="31"/>
  <c r="F260" i="31"/>
  <c r="J269" i="44"/>
  <c r="O46" i="40" s="1"/>
  <c r="H216" i="31"/>
  <c r="F235" i="31"/>
  <c r="J161" i="43"/>
  <c r="N44" i="40" s="1"/>
  <c r="G236" i="31"/>
  <c r="J171" i="43"/>
  <c r="R44" i="40" s="1"/>
  <c r="F118" i="43"/>
  <c r="F176" i="43" s="1"/>
  <c r="F181" i="43" s="1"/>
  <c r="J151" i="43"/>
  <c r="Q44" i="40" s="1"/>
  <c r="H116" i="43"/>
  <c r="H174" i="43" s="1"/>
  <c r="H179" i="43" s="1"/>
  <c r="J179" i="43" s="1"/>
  <c r="O42" i="40" s="1"/>
  <c r="H118" i="43"/>
  <c r="H176" i="43" s="1"/>
  <c r="H181" i="43" s="1"/>
  <c r="G130" i="35"/>
  <c r="G223" i="35" s="1"/>
  <c r="G232" i="35" s="1"/>
  <c r="F124" i="48"/>
  <c r="E124" i="48"/>
  <c r="E175" i="49"/>
  <c r="E187" i="49" s="1"/>
  <c r="G239" i="31"/>
  <c r="H149" i="31"/>
  <c r="H282" i="31" s="1"/>
  <c r="F228" i="31"/>
  <c r="G88" i="31"/>
  <c r="G198" i="31" s="1"/>
  <c r="F271" i="31"/>
  <c r="G257" i="31"/>
  <c r="F259" i="31"/>
  <c r="H262" i="31"/>
  <c r="E112" i="48"/>
  <c r="H233" i="31"/>
  <c r="H258" i="31"/>
  <c r="F101" i="31"/>
  <c r="K101" i="31" s="1"/>
  <c r="H270" i="31"/>
  <c r="E112" i="50"/>
  <c r="F112" i="48"/>
  <c r="F112" i="49"/>
  <c r="G231" i="31"/>
  <c r="E112" i="49"/>
  <c r="G104" i="50"/>
  <c r="W55" i="50"/>
  <c r="W66" i="50" s="1"/>
  <c r="AE55" i="50"/>
  <c r="AE66" i="50" s="1"/>
  <c r="O55" i="50"/>
  <c r="AM55" i="50"/>
  <c r="AM66" i="50" s="1"/>
  <c r="H106" i="50"/>
  <c r="AF57" i="50"/>
  <c r="AF68" i="50" s="1"/>
  <c r="AN57" i="50"/>
  <c r="AN68" i="50" s="1"/>
  <c r="P57" i="50"/>
  <c r="X57" i="50"/>
  <c r="X68" i="50" s="1"/>
  <c r="H103" i="49"/>
  <c r="AF54" i="49"/>
  <c r="AF65" i="49" s="1"/>
  <c r="X54" i="49"/>
  <c r="X65" i="49" s="1"/>
  <c r="P54" i="49"/>
  <c r="AN54" i="49"/>
  <c r="AN65" i="49" s="1"/>
  <c r="H111" i="49"/>
  <c r="AN62" i="49"/>
  <c r="AN73" i="49" s="1"/>
  <c r="X62" i="49"/>
  <c r="X73" i="49" s="1"/>
  <c r="AF62" i="49"/>
  <c r="AF73" i="49" s="1"/>
  <c r="P62" i="49"/>
  <c r="N70" i="47"/>
  <c r="F83" i="47" s="1"/>
  <c r="F180" i="47"/>
  <c r="F192" i="47" s="1"/>
  <c r="N69" i="47"/>
  <c r="F82" i="47" s="1"/>
  <c r="F179" i="47"/>
  <c r="F191" i="47" s="1"/>
  <c r="N73" i="50"/>
  <c r="F86" i="50" s="1"/>
  <c r="F207" i="50" s="1"/>
  <c r="F219" i="50" s="1"/>
  <c r="F183" i="50"/>
  <c r="F195" i="50" s="1"/>
  <c r="F179" i="49"/>
  <c r="F191" i="49" s="1"/>
  <c r="N69" i="49"/>
  <c r="F82" i="49" s="1"/>
  <c r="F203" i="49" s="1"/>
  <c r="F215" i="49" s="1"/>
  <c r="F183" i="49"/>
  <c r="F195" i="49" s="1"/>
  <c r="N73" i="49"/>
  <c r="F86" i="49" s="1"/>
  <c r="F207" i="49" s="1"/>
  <c r="F219" i="49" s="1"/>
  <c r="W54" i="50"/>
  <c r="W65" i="50" s="1"/>
  <c r="AM54" i="50"/>
  <c r="AM65" i="50" s="1"/>
  <c r="AE54" i="50"/>
  <c r="AE65" i="50" s="1"/>
  <c r="O54" i="50"/>
  <c r="H106" i="49"/>
  <c r="AF57" i="49"/>
  <c r="AF68" i="49" s="1"/>
  <c r="X57" i="49"/>
  <c r="X68" i="49" s="1"/>
  <c r="AN57" i="49"/>
  <c r="AN68" i="49" s="1"/>
  <c r="P57" i="49"/>
  <c r="M65" i="49"/>
  <c r="E78" i="49" s="1"/>
  <c r="E199" i="49" s="1"/>
  <c r="H108" i="49"/>
  <c r="AN59" i="49"/>
  <c r="AN70" i="49" s="1"/>
  <c r="P59" i="49"/>
  <c r="AF59" i="49"/>
  <c r="AF70" i="49" s="1"/>
  <c r="X59" i="49"/>
  <c r="X70" i="49" s="1"/>
  <c r="M70" i="50"/>
  <c r="E83" i="50" s="1"/>
  <c r="E204" i="50" s="1"/>
  <c r="E216" i="50" s="1"/>
  <c r="E180" i="50"/>
  <c r="E192" i="50" s="1"/>
  <c r="E181" i="50"/>
  <c r="E193" i="50" s="1"/>
  <c r="M71" i="50"/>
  <c r="E84" i="50" s="1"/>
  <c r="E205" i="50" s="1"/>
  <c r="E217" i="50" s="1"/>
  <c r="F211" i="49"/>
  <c r="G108" i="49"/>
  <c r="AM59" i="49"/>
  <c r="AM70" i="49" s="1"/>
  <c r="O59" i="49"/>
  <c r="AE59" i="49"/>
  <c r="AE70" i="49" s="1"/>
  <c r="W59" i="49"/>
  <c r="W70" i="49" s="1"/>
  <c r="G103" i="49"/>
  <c r="O54" i="49"/>
  <c r="AE54" i="49"/>
  <c r="AE65" i="49" s="1"/>
  <c r="AM54" i="49"/>
  <c r="AM65" i="49" s="1"/>
  <c r="W54" i="49"/>
  <c r="W65" i="49" s="1"/>
  <c r="H108" i="48"/>
  <c r="AN59" i="48"/>
  <c r="AN70" i="48" s="1"/>
  <c r="P59" i="48"/>
  <c r="AF59" i="48"/>
  <c r="AF70" i="48" s="1"/>
  <c r="X59" i="48"/>
  <c r="X70" i="48" s="1"/>
  <c r="H111" i="48"/>
  <c r="X62" i="48"/>
  <c r="X73" i="48" s="1"/>
  <c r="AN62" i="48"/>
  <c r="AN73" i="48" s="1"/>
  <c r="AF62" i="48"/>
  <c r="AF73" i="48" s="1"/>
  <c r="P62" i="48"/>
  <c r="M67" i="47"/>
  <c r="E80" i="47" s="1"/>
  <c r="E201" i="47" s="1"/>
  <c r="E213" i="47" s="1"/>
  <c r="E177" i="47"/>
  <c r="E189" i="47" s="1"/>
  <c r="N71" i="47"/>
  <c r="F84" i="47" s="1"/>
  <c r="F181" i="47"/>
  <c r="F193" i="47" s="1"/>
  <c r="N67" i="50"/>
  <c r="F80" i="50" s="1"/>
  <c r="F201" i="50" s="1"/>
  <c r="F213" i="50" s="1"/>
  <c r="F177" i="50"/>
  <c r="F189" i="50" s="1"/>
  <c r="M69" i="50"/>
  <c r="E82" i="50" s="1"/>
  <c r="E203" i="50" s="1"/>
  <c r="E215" i="50" s="1"/>
  <c r="E179" i="50"/>
  <c r="E191" i="50" s="1"/>
  <c r="N68" i="49"/>
  <c r="F81" i="49" s="1"/>
  <c r="F202" i="49" s="1"/>
  <c r="F214" i="49" s="1"/>
  <c r="F178" i="49"/>
  <c r="F190" i="49" s="1"/>
  <c r="F211" i="50"/>
  <c r="F177" i="48"/>
  <c r="F189" i="48" s="1"/>
  <c r="N67" i="48"/>
  <c r="F80" i="48" s="1"/>
  <c r="F201" i="48" s="1"/>
  <c r="F213" i="48" s="1"/>
  <c r="M71" i="47"/>
  <c r="E84" i="47" s="1"/>
  <c r="E181" i="47"/>
  <c r="E193" i="47" s="1"/>
  <c r="E177" i="49"/>
  <c r="E189" i="49" s="1"/>
  <c r="M67" i="49"/>
  <c r="E80" i="49" s="1"/>
  <c r="E201" i="49" s="1"/>
  <c r="E213" i="49" s="1"/>
  <c r="F211" i="48"/>
  <c r="E178" i="48"/>
  <c r="E190" i="48" s="1"/>
  <c r="M68" i="48"/>
  <c r="E81" i="48" s="1"/>
  <c r="E202" i="48" s="1"/>
  <c r="E214" i="48" s="1"/>
  <c r="E175" i="50"/>
  <c r="E187" i="50" s="1"/>
  <c r="M65" i="50"/>
  <c r="E78" i="50" s="1"/>
  <c r="E199" i="50" s="1"/>
  <c r="N69" i="50"/>
  <c r="F82" i="50" s="1"/>
  <c r="F203" i="50" s="1"/>
  <c r="F215" i="50" s="1"/>
  <c r="F179" i="50"/>
  <c r="F191" i="50" s="1"/>
  <c r="N68" i="50"/>
  <c r="F81" i="50" s="1"/>
  <c r="F202" i="50" s="1"/>
  <c r="F214" i="50" s="1"/>
  <c r="F178" i="50"/>
  <c r="F190" i="50" s="1"/>
  <c r="E175" i="48"/>
  <c r="E187" i="48" s="1"/>
  <c r="M65" i="48"/>
  <c r="E78" i="48" s="1"/>
  <c r="E199" i="48" s="1"/>
  <c r="F178" i="48"/>
  <c r="F190" i="48" s="1"/>
  <c r="N68" i="48"/>
  <c r="F81" i="48" s="1"/>
  <c r="F202" i="48" s="1"/>
  <c r="F214" i="48" s="1"/>
  <c r="F181" i="48"/>
  <c r="F193" i="48" s="1"/>
  <c r="N71" i="48"/>
  <c r="F84" i="48" s="1"/>
  <c r="F205" i="48" s="1"/>
  <c r="F217" i="48" s="1"/>
  <c r="G105" i="48"/>
  <c r="AM56" i="48"/>
  <c r="AM67" i="48" s="1"/>
  <c r="W56" i="48"/>
  <c r="W67" i="48" s="1"/>
  <c r="AE56" i="48"/>
  <c r="AE67" i="48" s="1"/>
  <c r="O56" i="48"/>
  <c r="H106" i="48"/>
  <c r="AN57" i="48"/>
  <c r="AN68" i="48" s="1"/>
  <c r="AF57" i="48"/>
  <c r="AF68" i="48" s="1"/>
  <c r="X57" i="48"/>
  <c r="X68" i="48" s="1"/>
  <c r="P57" i="48"/>
  <c r="F176" i="49"/>
  <c r="F188" i="49" s="1"/>
  <c r="N66" i="49"/>
  <c r="F79" i="49" s="1"/>
  <c r="F200" i="49" s="1"/>
  <c r="F212" i="49" s="1"/>
  <c r="H107" i="49"/>
  <c r="X58" i="49"/>
  <c r="X69" i="49" s="1"/>
  <c r="AN58" i="49"/>
  <c r="AN69" i="49" s="1"/>
  <c r="P58" i="49"/>
  <c r="AF58" i="49"/>
  <c r="AF69" i="49" s="1"/>
  <c r="H107" i="48"/>
  <c r="AF58" i="48"/>
  <c r="AF69" i="48" s="1"/>
  <c r="P58" i="48"/>
  <c r="AN58" i="48"/>
  <c r="AN69" i="48" s="1"/>
  <c r="X58" i="48"/>
  <c r="X69" i="48" s="1"/>
  <c r="H108" i="50"/>
  <c r="AN59" i="50"/>
  <c r="AN70" i="50" s="1"/>
  <c r="P59" i="50"/>
  <c r="X59" i="50"/>
  <c r="X70" i="50" s="1"/>
  <c r="AF59" i="50"/>
  <c r="AF70" i="50" s="1"/>
  <c r="E176" i="48"/>
  <c r="E188" i="48" s="1"/>
  <c r="M66" i="48"/>
  <c r="E79" i="48" s="1"/>
  <c r="E200" i="48" s="1"/>
  <c r="E212" i="48" s="1"/>
  <c r="F181" i="50"/>
  <c r="F193" i="50" s="1"/>
  <c r="N71" i="50"/>
  <c r="F84" i="50" s="1"/>
  <c r="F205" i="50" s="1"/>
  <c r="F217" i="50" s="1"/>
  <c r="N71" i="49"/>
  <c r="F84" i="49" s="1"/>
  <c r="F205" i="49" s="1"/>
  <c r="F217" i="49" s="1"/>
  <c r="F181" i="49"/>
  <c r="F193" i="49" s="1"/>
  <c r="E175" i="47"/>
  <c r="E187" i="47" s="1"/>
  <c r="P119" i="35"/>
  <c r="H205" i="35"/>
  <c r="H214" i="35" s="1"/>
  <c r="J214" i="35" s="1"/>
  <c r="R35" i="40" s="1"/>
  <c r="F176" i="48"/>
  <c r="N66" i="48"/>
  <c r="F79" i="48" s="1"/>
  <c r="F200" i="48" s="1"/>
  <c r="F212" i="48" s="1"/>
  <c r="M68" i="50"/>
  <c r="E81" i="50" s="1"/>
  <c r="E202" i="50" s="1"/>
  <c r="E214" i="50" s="1"/>
  <c r="E178" i="50"/>
  <c r="E190" i="50" s="1"/>
  <c r="M66" i="47"/>
  <c r="E79" i="47" s="1"/>
  <c r="E176" i="47"/>
  <c r="E188" i="47" s="1"/>
  <c r="H104" i="50"/>
  <c r="X55" i="50"/>
  <c r="X66" i="50" s="1"/>
  <c r="AF55" i="50"/>
  <c r="AF66" i="50" s="1"/>
  <c r="AN55" i="50"/>
  <c r="AN66" i="50" s="1"/>
  <c r="P55" i="50"/>
  <c r="H105" i="49"/>
  <c r="AN56" i="49"/>
  <c r="AN67" i="49" s="1"/>
  <c r="P56" i="49"/>
  <c r="AF56" i="49"/>
  <c r="AF67" i="49" s="1"/>
  <c r="X56" i="49"/>
  <c r="X67" i="49" s="1"/>
  <c r="G106" i="49"/>
  <c r="W57" i="49"/>
  <c r="W68" i="49" s="1"/>
  <c r="O57" i="49"/>
  <c r="AM57" i="49"/>
  <c r="AM68" i="49" s="1"/>
  <c r="AE57" i="49"/>
  <c r="AE68" i="49" s="1"/>
  <c r="G107" i="49"/>
  <c r="AM58" i="49"/>
  <c r="AM69" i="49" s="1"/>
  <c r="O58" i="49"/>
  <c r="AE58" i="49"/>
  <c r="AE69" i="49" s="1"/>
  <c r="W58" i="49"/>
  <c r="W69" i="49" s="1"/>
  <c r="G111" i="49"/>
  <c r="O62" i="49"/>
  <c r="W62" i="49"/>
  <c r="W73" i="49" s="1"/>
  <c r="AM62" i="49"/>
  <c r="AM73" i="49" s="1"/>
  <c r="AE62" i="49"/>
  <c r="AE73" i="49" s="1"/>
  <c r="H154" i="31"/>
  <c r="H287" i="31" s="1"/>
  <c r="E180" i="49"/>
  <c r="E192" i="49" s="1"/>
  <c r="M70" i="49"/>
  <c r="E83" i="49" s="1"/>
  <c r="E204" i="49" s="1"/>
  <c r="E216" i="49" s="1"/>
  <c r="N70" i="50"/>
  <c r="F83" i="50" s="1"/>
  <c r="F204" i="50" s="1"/>
  <c r="F216" i="50" s="1"/>
  <c r="F180" i="50"/>
  <c r="F192" i="50" s="1"/>
  <c r="E176" i="49"/>
  <c r="E188" i="49" s="1"/>
  <c r="M66" i="49"/>
  <c r="E79" i="49" s="1"/>
  <c r="E200" i="49" s="1"/>
  <c r="E212" i="49" s="1"/>
  <c r="E179" i="48"/>
  <c r="E191" i="48" s="1"/>
  <c r="M69" i="48"/>
  <c r="E82" i="48" s="1"/>
  <c r="E203" i="48" s="1"/>
  <c r="E215" i="48" s="1"/>
  <c r="H103" i="50"/>
  <c r="AN54" i="50"/>
  <c r="AN65" i="50" s="1"/>
  <c r="X54" i="50"/>
  <c r="X65" i="50" s="1"/>
  <c r="AF54" i="50"/>
  <c r="AF65" i="50" s="1"/>
  <c r="P54" i="50"/>
  <c r="H109" i="49"/>
  <c r="AF60" i="49"/>
  <c r="AF71" i="49" s="1"/>
  <c r="X60" i="49"/>
  <c r="X71" i="49" s="1"/>
  <c r="AN60" i="49"/>
  <c r="AN71" i="49" s="1"/>
  <c r="P60" i="49"/>
  <c r="E177" i="48"/>
  <c r="E189" i="48" s="1"/>
  <c r="M67" i="48"/>
  <c r="E80" i="48" s="1"/>
  <c r="E201" i="48" s="1"/>
  <c r="E213" i="48" s="1"/>
  <c r="E183" i="48"/>
  <c r="E195" i="48" s="1"/>
  <c r="M73" i="48"/>
  <c r="E86" i="48" s="1"/>
  <c r="E207" i="48" s="1"/>
  <c r="E219" i="48" s="1"/>
  <c r="G108" i="50"/>
  <c r="AM59" i="50"/>
  <c r="AM70" i="50" s="1"/>
  <c r="O59" i="50"/>
  <c r="W59" i="50"/>
  <c r="W70" i="50" s="1"/>
  <c r="AE59" i="50"/>
  <c r="AE70" i="50" s="1"/>
  <c r="G108" i="48"/>
  <c r="AM59" i="48"/>
  <c r="AM70" i="48" s="1"/>
  <c r="AE59" i="48"/>
  <c r="AE70" i="48" s="1"/>
  <c r="W59" i="48"/>
  <c r="W70" i="48" s="1"/>
  <c r="O59" i="48"/>
  <c r="G109" i="48"/>
  <c r="AE60" i="48"/>
  <c r="AE71" i="48" s="1"/>
  <c r="O60" i="48"/>
  <c r="W60" i="48"/>
  <c r="W71" i="48" s="1"/>
  <c r="AM60" i="48"/>
  <c r="AM71" i="48" s="1"/>
  <c r="H105" i="48"/>
  <c r="AN56" i="48"/>
  <c r="AN67" i="48" s="1"/>
  <c r="X56" i="48"/>
  <c r="X67" i="48" s="1"/>
  <c r="AF56" i="48"/>
  <c r="AF67" i="48" s="1"/>
  <c r="P56" i="48"/>
  <c r="G106" i="48"/>
  <c r="O57" i="48"/>
  <c r="AM57" i="48"/>
  <c r="AM68" i="48" s="1"/>
  <c r="AE57" i="48"/>
  <c r="AE68" i="48" s="1"/>
  <c r="W57" i="48"/>
  <c r="W68" i="48" s="1"/>
  <c r="G107" i="48"/>
  <c r="AE58" i="48"/>
  <c r="AE69" i="48" s="1"/>
  <c r="O58" i="48"/>
  <c r="AM58" i="48"/>
  <c r="AM69" i="48" s="1"/>
  <c r="W58" i="48"/>
  <c r="W69" i="48" s="1"/>
  <c r="M68" i="47"/>
  <c r="E81" i="47" s="1"/>
  <c r="E178" i="47"/>
  <c r="E190" i="47" s="1"/>
  <c r="H274" i="31"/>
  <c r="F177" i="49"/>
  <c r="F189" i="49" s="1"/>
  <c r="N67" i="49"/>
  <c r="F80" i="49" s="1"/>
  <c r="F201" i="49" s="1"/>
  <c r="F213" i="49" s="1"/>
  <c r="H104" i="49"/>
  <c r="X55" i="49"/>
  <c r="X66" i="49" s="1"/>
  <c r="AN55" i="49"/>
  <c r="AN66" i="49" s="1"/>
  <c r="P55" i="49"/>
  <c r="AF55" i="49"/>
  <c r="AF66" i="49" s="1"/>
  <c r="F180" i="48"/>
  <c r="F192" i="48" s="1"/>
  <c r="N70" i="48"/>
  <c r="F83" i="48" s="1"/>
  <c r="F204" i="48" s="1"/>
  <c r="F216" i="48" s="1"/>
  <c r="G104" i="48"/>
  <c r="AM55" i="48"/>
  <c r="AM66" i="48" s="1"/>
  <c r="AE55" i="48"/>
  <c r="AE66" i="48" s="1"/>
  <c r="W55" i="48"/>
  <c r="W66" i="48" s="1"/>
  <c r="O55" i="48"/>
  <c r="G105" i="50"/>
  <c r="AM56" i="50"/>
  <c r="AM67" i="50" s="1"/>
  <c r="O56" i="50"/>
  <c r="W56" i="50"/>
  <c r="W67" i="50" s="1"/>
  <c r="AE56" i="50"/>
  <c r="AE67" i="50" s="1"/>
  <c r="H107" i="50"/>
  <c r="X58" i="50"/>
  <c r="X69" i="50" s="1"/>
  <c r="AF58" i="50"/>
  <c r="AF69" i="50" s="1"/>
  <c r="AN58" i="50"/>
  <c r="AN69" i="50" s="1"/>
  <c r="P58" i="50"/>
  <c r="G104" i="49"/>
  <c r="AM55" i="49"/>
  <c r="AM66" i="49" s="1"/>
  <c r="O55" i="49"/>
  <c r="W55" i="49"/>
  <c r="W66" i="49" s="1"/>
  <c r="AE55" i="49"/>
  <c r="AE66" i="49" s="1"/>
  <c r="G105" i="49"/>
  <c r="AE56" i="49"/>
  <c r="AE67" i="49" s="1"/>
  <c r="AM56" i="49"/>
  <c r="AM67" i="49" s="1"/>
  <c r="W56" i="49"/>
  <c r="W67" i="49" s="1"/>
  <c r="O56" i="49"/>
  <c r="N66" i="47"/>
  <c r="F79" i="47" s="1"/>
  <c r="F176" i="47"/>
  <c r="H104" i="48"/>
  <c r="AF55" i="48"/>
  <c r="AF66" i="48" s="1"/>
  <c r="AN55" i="48"/>
  <c r="AN66" i="48" s="1"/>
  <c r="X55" i="48"/>
  <c r="X66" i="48" s="1"/>
  <c r="P55" i="48"/>
  <c r="H105" i="50"/>
  <c r="AN56" i="50"/>
  <c r="AN67" i="50" s="1"/>
  <c r="P56" i="50"/>
  <c r="X56" i="50"/>
  <c r="X67" i="50" s="1"/>
  <c r="AF56" i="50"/>
  <c r="AF67" i="50" s="1"/>
  <c r="G107" i="50"/>
  <c r="W58" i="50"/>
  <c r="W69" i="50" s="1"/>
  <c r="AE58" i="50"/>
  <c r="AE69" i="50" s="1"/>
  <c r="AM58" i="50"/>
  <c r="AM69" i="50" s="1"/>
  <c r="O58" i="50"/>
  <c r="G111" i="50"/>
  <c r="AM62" i="50"/>
  <c r="AM73" i="50" s="1"/>
  <c r="O62" i="50"/>
  <c r="AE62" i="50"/>
  <c r="AE73" i="50" s="1"/>
  <c r="W62" i="50"/>
  <c r="W73" i="50" s="1"/>
  <c r="H109" i="50"/>
  <c r="AF60" i="50"/>
  <c r="AF71" i="50" s="1"/>
  <c r="P60" i="50"/>
  <c r="AN60" i="50"/>
  <c r="AN71" i="50" s="1"/>
  <c r="X60" i="50"/>
  <c r="X71" i="50" s="1"/>
  <c r="M69" i="47"/>
  <c r="E82" i="47" s="1"/>
  <c r="E179" i="47"/>
  <c r="E191" i="47" s="1"/>
  <c r="N73" i="47"/>
  <c r="F86" i="47" s="1"/>
  <c r="F183" i="47"/>
  <c r="F195" i="47" s="1"/>
  <c r="F180" i="49"/>
  <c r="F192" i="49" s="1"/>
  <c r="N70" i="49"/>
  <c r="F83" i="49" s="1"/>
  <c r="F204" i="49" s="1"/>
  <c r="F216" i="49" s="1"/>
  <c r="E180" i="48"/>
  <c r="E192" i="48" s="1"/>
  <c r="M70" i="48"/>
  <c r="E83" i="48" s="1"/>
  <c r="E204" i="48" s="1"/>
  <c r="E216" i="48" s="1"/>
  <c r="M73" i="50"/>
  <c r="E86" i="50" s="1"/>
  <c r="E207" i="50" s="1"/>
  <c r="E219" i="50" s="1"/>
  <c r="E183" i="50"/>
  <c r="E195" i="50" s="1"/>
  <c r="F183" i="48"/>
  <c r="F195" i="48" s="1"/>
  <c r="N73" i="48"/>
  <c r="F86" i="48" s="1"/>
  <c r="F207" i="48" s="1"/>
  <c r="F219" i="48" s="1"/>
  <c r="M73" i="47"/>
  <c r="E86" i="47" s="1"/>
  <c r="E183" i="47"/>
  <c r="E195" i="47" s="1"/>
  <c r="N68" i="47"/>
  <c r="F81" i="47" s="1"/>
  <c r="F178" i="47"/>
  <c r="F190" i="47" s="1"/>
  <c r="N67" i="47"/>
  <c r="F80" i="47" s="1"/>
  <c r="F177" i="47"/>
  <c r="F189" i="47" s="1"/>
  <c r="G103" i="48"/>
  <c r="AM54" i="48"/>
  <c r="AM65" i="48" s="1"/>
  <c r="AE54" i="48"/>
  <c r="AE65" i="48" s="1"/>
  <c r="O54" i="48"/>
  <c r="W54" i="48"/>
  <c r="W65" i="48" s="1"/>
  <c r="M67" i="50"/>
  <c r="E80" i="50" s="1"/>
  <c r="E201" i="50" s="1"/>
  <c r="E213" i="50" s="1"/>
  <c r="E177" i="50"/>
  <c r="E189" i="50" s="1"/>
  <c r="H111" i="50"/>
  <c r="AN62" i="50"/>
  <c r="AN73" i="50" s="1"/>
  <c r="X62" i="50"/>
  <c r="X73" i="50" s="1"/>
  <c r="AF62" i="50"/>
  <c r="AF73" i="50" s="1"/>
  <c r="P62" i="50"/>
  <c r="M68" i="49"/>
  <c r="E81" i="49" s="1"/>
  <c r="E202" i="49" s="1"/>
  <c r="E214" i="49" s="1"/>
  <c r="E178" i="49"/>
  <c r="E190" i="49" s="1"/>
  <c r="G109" i="49"/>
  <c r="AE60" i="49"/>
  <c r="AE71" i="49" s="1"/>
  <c r="W60" i="49"/>
  <c r="W71" i="49" s="1"/>
  <c r="AM60" i="49"/>
  <c r="AM71" i="49" s="1"/>
  <c r="O60" i="49"/>
  <c r="G109" i="50"/>
  <c r="AE60" i="50"/>
  <c r="AE71" i="50" s="1"/>
  <c r="AM60" i="50"/>
  <c r="AM71" i="50" s="1"/>
  <c r="O60" i="50"/>
  <c r="W60" i="50"/>
  <c r="W71" i="50" s="1"/>
  <c r="G106" i="50"/>
  <c r="AE57" i="50"/>
  <c r="AE68" i="50" s="1"/>
  <c r="AM57" i="50"/>
  <c r="AM68" i="50" s="1"/>
  <c r="O57" i="50"/>
  <c r="W57" i="50"/>
  <c r="W68" i="50" s="1"/>
  <c r="H103" i="48"/>
  <c r="P54" i="48"/>
  <c r="AN54" i="48"/>
  <c r="AN65" i="48" s="1"/>
  <c r="X54" i="48"/>
  <c r="X65" i="48" s="1"/>
  <c r="AF54" i="48"/>
  <c r="AF65" i="48" s="1"/>
  <c r="G111" i="48"/>
  <c r="AE62" i="48"/>
  <c r="AE73" i="48" s="1"/>
  <c r="O62" i="48"/>
  <c r="AM62" i="48"/>
  <c r="AM73" i="48" s="1"/>
  <c r="W62" i="48"/>
  <c r="W73" i="48" s="1"/>
  <c r="H109" i="48"/>
  <c r="AF60" i="48"/>
  <c r="AF71" i="48" s="1"/>
  <c r="AN60" i="48"/>
  <c r="AN71" i="48" s="1"/>
  <c r="P60" i="48"/>
  <c r="X60" i="48"/>
  <c r="X71" i="48" s="1"/>
  <c r="M70" i="47"/>
  <c r="E83" i="47" s="1"/>
  <c r="E180" i="47"/>
  <c r="E192" i="47" s="1"/>
  <c r="G235" i="31"/>
  <c r="M71" i="49"/>
  <c r="E84" i="49" s="1"/>
  <c r="E205" i="49" s="1"/>
  <c r="E217" i="49" s="1"/>
  <c r="E181" i="49"/>
  <c r="E193" i="49" s="1"/>
  <c r="M66" i="50"/>
  <c r="E79" i="50" s="1"/>
  <c r="E200" i="50" s="1"/>
  <c r="E212" i="50" s="1"/>
  <c r="E176" i="50"/>
  <c r="E188" i="50" s="1"/>
  <c r="N66" i="50"/>
  <c r="F79" i="50" s="1"/>
  <c r="F200" i="50" s="1"/>
  <c r="F212" i="50" s="1"/>
  <c r="F176" i="50"/>
  <c r="E179" i="49"/>
  <c r="E191" i="49" s="1"/>
  <c r="M69" i="49"/>
  <c r="E82" i="49" s="1"/>
  <c r="E203" i="49" s="1"/>
  <c r="E215" i="49" s="1"/>
  <c r="E181" i="48"/>
  <c r="E193" i="48" s="1"/>
  <c r="M71" i="48"/>
  <c r="E84" i="48" s="1"/>
  <c r="E205" i="48" s="1"/>
  <c r="E217" i="48" s="1"/>
  <c r="F179" i="48"/>
  <c r="F191" i="48" s="1"/>
  <c r="N69" i="48"/>
  <c r="F82" i="48" s="1"/>
  <c r="F203" i="48" s="1"/>
  <c r="F215" i="48" s="1"/>
  <c r="V151" i="44"/>
  <c r="V159" i="44" s="1"/>
  <c r="AL151" i="44"/>
  <c r="AL159" i="44" s="1"/>
  <c r="AD151" i="44"/>
  <c r="AD159" i="44" s="1"/>
  <c r="N151" i="44"/>
  <c r="AK151" i="44"/>
  <c r="AK159" i="44" s="1"/>
  <c r="AC151" i="44"/>
  <c r="AC159" i="44" s="1"/>
  <c r="U151" i="44"/>
  <c r="U159" i="44" s="1"/>
  <c r="M151" i="44"/>
  <c r="H275" i="31"/>
  <c r="H238" i="31"/>
  <c r="H90" i="31"/>
  <c r="H200" i="31" s="1"/>
  <c r="F269" i="31"/>
  <c r="F257" i="31"/>
  <c r="H263" i="31"/>
  <c r="F267" i="45"/>
  <c r="M109" i="45"/>
  <c r="E122" i="45" s="1"/>
  <c r="E255" i="45" s="1"/>
  <c r="E231" i="45"/>
  <c r="M115" i="45"/>
  <c r="E128" i="45" s="1"/>
  <c r="E261" i="45" s="1"/>
  <c r="E273" i="45" s="1"/>
  <c r="E237" i="45"/>
  <c r="E249" i="45" s="1"/>
  <c r="M111" i="45"/>
  <c r="E124" i="45" s="1"/>
  <c r="E257" i="45" s="1"/>
  <c r="E269" i="45" s="1"/>
  <c r="E233" i="45"/>
  <c r="E245" i="45" s="1"/>
  <c r="M110" i="45"/>
  <c r="E123" i="45" s="1"/>
  <c r="E256" i="45" s="1"/>
  <c r="E268" i="45" s="1"/>
  <c r="E232" i="45"/>
  <c r="E244" i="45" s="1"/>
  <c r="F195" i="45"/>
  <c r="N117" i="45"/>
  <c r="F130" i="45" s="1"/>
  <c r="F263" i="45" s="1"/>
  <c r="F275" i="45" s="1"/>
  <c r="F239" i="45"/>
  <c r="F251" i="45" s="1"/>
  <c r="M117" i="45"/>
  <c r="E130" i="45" s="1"/>
  <c r="E263" i="45" s="1"/>
  <c r="E275" i="45" s="1"/>
  <c r="E239" i="45"/>
  <c r="E251" i="45" s="1"/>
  <c r="N110" i="45"/>
  <c r="F123" i="45" s="1"/>
  <c r="F256" i="45" s="1"/>
  <c r="F232" i="45"/>
  <c r="M112" i="45"/>
  <c r="E125" i="45" s="1"/>
  <c r="E258" i="45" s="1"/>
  <c r="E270" i="45" s="1"/>
  <c r="E234" i="45"/>
  <c r="E246" i="45" s="1"/>
  <c r="N111" i="45"/>
  <c r="F124" i="45" s="1"/>
  <c r="F257" i="45" s="1"/>
  <c r="F269" i="45" s="1"/>
  <c r="F233" i="45"/>
  <c r="F245" i="45" s="1"/>
  <c r="N115" i="45"/>
  <c r="F128" i="45" s="1"/>
  <c r="F261" i="45" s="1"/>
  <c r="F273" i="45" s="1"/>
  <c r="F237" i="45"/>
  <c r="F249" i="45" s="1"/>
  <c r="M113" i="45"/>
  <c r="E126" i="45" s="1"/>
  <c r="E259" i="45" s="1"/>
  <c r="E271" i="45" s="1"/>
  <c r="E235" i="45"/>
  <c r="E247" i="45" s="1"/>
  <c r="N113" i="45"/>
  <c r="F126" i="45" s="1"/>
  <c r="F259" i="45" s="1"/>
  <c r="F271" i="45" s="1"/>
  <c r="F235" i="45"/>
  <c r="F247" i="45" s="1"/>
  <c r="N114" i="45"/>
  <c r="F127" i="45" s="1"/>
  <c r="F260" i="45" s="1"/>
  <c r="F272" i="45" s="1"/>
  <c r="F236" i="45"/>
  <c r="F248" i="45" s="1"/>
  <c r="M114" i="45"/>
  <c r="E127" i="45" s="1"/>
  <c r="E260" i="45" s="1"/>
  <c r="E272" i="45" s="1"/>
  <c r="E236" i="45"/>
  <c r="E248" i="45" s="1"/>
  <c r="N112" i="45"/>
  <c r="F125" i="45" s="1"/>
  <c r="F258" i="45" s="1"/>
  <c r="F270" i="45" s="1"/>
  <c r="F234" i="45"/>
  <c r="F246" i="45" s="1"/>
  <c r="H159" i="43"/>
  <c r="J159" i="43" s="1"/>
  <c r="N42" i="40" s="1"/>
  <c r="K96" i="43"/>
  <c r="L99" i="43"/>
  <c r="M94" i="43"/>
  <c r="P94" i="43" s="1"/>
  <c r="J42" i="40" s="1"/>
  <c r="H149" i="43"/>
  <c r="J149" i="43" s="1"/>
  <c r="Q42" i="40" s="1"/>
  <c r="M96" i="43"/>
  <c r="H187" i="35"/>
  <c r="H196" i="35" s="1"/>
  <c r="J196" i="35" s="1"/>
  <c r="N35" i="40" s="1"/>
  <c r="E109" i="45"/>
  <c r="E207" i="45" s="1"/>
  <c r="E219" i="45" s="1"/>
  <c r="E183" i="45"/>
  <c r="J192" i="31"/>
  <c r="P22" i="40" s="1"/>
  <c r="AN101" i="45"/>
  <c r="AN112" i="45" s="1"/>
  <c r="AF101" i="45"/>
  <c r="AF112" i="45" s="1"/>
  <c r="X101" i="45"/>
  <c r="X112" i="45" s="1"/>
  <c r="P101" i="45"/>
  <c r="AF102" i="45"/>
  <c r="AF113" i="45" s="1"/>
  <c r="P102" i="45"/>
  <c r="AN102" i="45"/>
  <c r="AN113" i="45" s="1"/>
  <c r="X102" i="45"/>
  <c r="X113" i="45" s="1"/>
  <c r="AM98" i="45"/>
  <c r="AM109" i="45" s="1"/>
  <c r="AE98" i="45"/>
  <c r="AE109" i="45" s="1"/>
  <c r="W98" i="45"/>
  <c r="W109" i="45" s="1"/>
  <c r="O98" i="45"/>
  <c r="AN103" i="45"/>
  <c r="AN114" i="45" s="1"/>
  <c r="AF103" i="45"/>
  <c r="AF114" i="45" s="1"/>
  <c r="X103" i="45"/>
  <c r="X114" i="45" s="1"/>
  <c r="P103" i="45"/>
  <c r="O100" i="45"/>
  <c r="AM100" i="45"/>
  <c r="AM111" i="45" s="1"/>
  <c r="W100" i="45"/>
  <c r="W111" i="45" s="1"/>
  <c r="AE100" i="45"/>
  <c r="AE111" i="45" s="1"/>
  <c r="AM103" i="45"/>
  <c r="AM114" i="45" s="1"/>
  <c r="AE103" i="45"/>
  <c r="AE114" i="45" s="1"/>
  <c r="W103" i="45"/>
  <c r="W114" i="45" s="1"/>
  <c r="O103" i="45"/>
  <c r="AM99" i="45"/>
  <c r="AM110" i="45" s="1"/>
  <c r="AE99" i="45"/>
  <c r="AE110" i="45" s="1"/>
  <c r="W99" i="45"/>
  <c r="W110" i="45" s="1"/>
  <c r="O99" i="45"/>
  <c r="AN98" i="45"/>
  <c r="AN109" i="45" s="1"/>
  <c r="X98" i="45"/>
  <c r="X109" i="45" s="1"/>
  <c r="AF98" i="45"/>
  <c r="AF109" i="45" s="1"/>
  <c r="P98" i="45"/>
  <c r="AN106" i="45"/>
  <c r="AN117" i="45" s="1"/>
  <c r="P106" i="45"/>
  <c r="X106" i="45"/>
  <c r="X117" i="45" s="1"/>
  <c r="AF106" i="45"/>
  <c r="AF117" i="45" s="1"/>
  <c r="AM102" i="45"/>
  <c r="AM113" i="45" s="1"/>
  <c r="AE102" i="45"/>
  <c r="AE113" i="45" s="1"/>
  <c r="W102" i="45"/>
  <c r="W113" i="45" s="1"/>
  <c r="O102" i="45"/>
  <c r="X104" i="45"/>
  <c r="X115" i="45" s="1"/>
  <c r="AF104" i="45"/>
  <c r="AF115" i="45" s="1"/>
  <c r="AN104" i="45"/>
  <c r="AN115" i="45" s="1"/>
  <c r="P104" i="45"/>
  <c r="O101" i="45"/>
  <c r="AE101" i="45"/>
  <c r="AE112" i="45" s="1"/>
  <c r="AM101" i="45"/>
  <c r="AM112" i="45" s="1"/>
  <c r="W101" i="45"/>
  <c r="W112" i="45" s="1"/>
  <c r="AM106" i="45"/>
  <c r="AM117" i="45" s="1"/>
  <c r="AE106" i="45"/>
  <c r="AE117" i="45" s="1"/>
  <c r="W106" i="45"/>
  <c r="W117" i="45" s="1"/>
  <c r="O106" i="45"/>
  <c r="AE104" i="45"/>
  <c r="AE115" i="45" s="1"/>
  <c r="W104" i="45"/>
  <c r="W115" i="45" s="1"/>
  <c r="AM104" i="45"/>
  <c r="AM115" i="45" s="1"/>
  <c r="O104" i="45"/>
  <c r="AN99" i="45"/>
  <c r="AN110" i="45" s="1"/>
  <c r="AF99" i="45"/>
  <c r="AF110" i="45" s="1"/>
  <c r="X99" i="45"/>
  <c r="X110" i="45" s="1"/>
  <c r="P99" i="45"/>
  <c r="P100" i="45"/>
  <c r="AN100" i="45"/>
  <c r="AN111" i="45" s="1"/>
  <c r="AF100" i="45"/>
  <c r="AF111" i="45" s="1"/>
  <c r="X100" i="45"/>
  <c r="X111" i="45" s="1"/>
  <c r="G228" i="31"/>
  <c r="F151" i="50"/>
  <c r="F163" i="50" s="1"/>
  <c r="F152" i="50"/>
  <c r="F164" i="50" s="1"/>
  <c r="F46" i="50"/>
  <c r="F118" i="50" s="1"/>
  <c r="F45" i="50"/>
  <c r="F117" i="50" s="1"/>
  <c r="E46" i="50"/>
  <c r="E118" i="50" s="1"/>
  <c r="F47" i="50"/>
  <c r="F119" i="50" s="1"/>
  <c r="E47" i="50"/>
  <c r="E119" i="50" s="1"/>
  <c r="E49" i="50"/>
  <c r="E121" i="50" s="1"/>
  <c r="E45" i="50"/>
  <c r="E117" i="50" s="1"/>
  <c r="E51" i="50"/>
  <c r="E123" i="50" s="1"/>
  <c r="E44" i="50"/>
  <c r="E116" i="50" s="1"/>
  <c r="F44" i="50"/>
  <c r="F116" i="50" s="1"/>
  <c r="E48" i="50"/>
  <c r="E120" i="50" s="1"/>
  <c r="F48" i="50"/>
  <c r="F120" i="50" s="1"/>
  <c r="E43" i="50"/>
  <c r="E115" i="50" s="1"/>
  <c r="F49" i="50"/>
  <c r="F121" i="50" s="1"/>
  <c r="F51" i="50"/>
  <c r="F123" i="50" s="1"/>
  <c r="F45" i="49"/>
  <c r="F117" i="49" s="1"/>
  <c r="E45" i="49"/>
  <c r="E117" i="49" s="1"/>
  <c r="E48" i="49"/>
  <c r="E120" i="49" s="1"/>
  <c r="F49" i="49"/>
  <c r="F121" i="49" s="1"/>
  <c r="E44" i="49"/>
  <c r="E116" i="49" s="1"/>
  <c r="E47" i="49"/>
  <c r="E119" i="49" s="1"/>
  <c r="F47" i="49"/>
  <c r="F119" i="49" s="1"/>
  <c r="F44" i="49"/>
  <c r="F116" i="49" s="1"/>
  <c r="E46" i="49"/>
  <c r="E118" i="49" s="1"/>
  <c r="E49" i="49"/>
  <c r="E121" i="49" s="1"/>
  <c r="F51" i="49"/>
  <c r="F123" i="49" s="1"/>
  <c r="F48" i="49"/>
  <c r="F120" i="49" s="1"/>
  <c r="F46" i="49"/>
  <c r="F118" i="49" s="1"/>
  <c r="H228" i="31"/>
  <c r="F216" i="31"/>
  <c r="F231" i="31"/>
  <c r="G152" i="31"/>
  <c r="G285" i="31" s="1"/>
  <c r="F152" i="31"/>
  <c r="F285" i="31" s="1"/>
  <c r="H151" i="31"/>
  <c r="H296" i="31" s="1"/>
  <c r="H236" i="31"/>
  <c r="G261" i="31"/>
  <c r="H261" i="31"/>
  <c r="F256" i="31"/>
  <c r="G273" i="31"/>
  <c r="H273" i="31"/>
  <c r="F268" i="31"/>
  <c r="H272" i="31"/>
  <c r="H260" i="31"/>
  <c r="F236" i="31"/>
  <c r="F279" i="31"/>
  <c r="F66" i="45"/>
  <c r="F261" i="31"/>
  <c r="F273" i="31"/>
  <c r="F299" i="31"/>
  <c r="F293" i="31"/>
  <c r="H298" i="31"/>
  <c r="G296" i="31"/>
  <c r="F294" i="31"/>
  <c r="G299" i="31"/>
  <c r="F298" i="31"/>
  <c r="F296" i="31"/>
  <c r="G295" i="31"/>
  <c r="H295" i="31"/>
  <c r="F295" i="31"/>
  <c r="G180" i="31"/>
  <c r="G298" i="31"/>
  <c r="G294" i="31"/>
  <c r="H297" i="31"/>
  <c r="F163" i="48"/>
  <c r="F128" i="48"/>
  <c r="F140" i="48" s="1"/>
  <c r="E132" i="48"/>
  <c r="E144" i="48" s="1"/>
  <c r="F69" i="48"/>
  <c r="F155" i="48" s="1"/>
  <c r="F167" i="48" s="1"/>
  <c r="E130" i="48"/>
  <c r="E142" i="48" s="1"/>
  <c r="F133" i="48"/>
  <c r="F145" i="48" s="1"/>
  <c r="E135" i="48"/>
  <c r="E147" i="48" s="1"/>
  <c r="H112" i="47"/>
  <c r="E281" i="33"/>
  <c r="E293" i="33" s="1"/>
  <c r="F128" i="50"/>
  <c r="F140" i="50" s="1"/>
  <c r="J269" i="30"/>
  <c r="R24" i="40" s="1"/>
  <c r="E80" i="45"/>
  <c r="J80" i="45" s="1"/>
  <c r="F63" i="45"/>
  <c r="F173" i="45" s="1"/>
  <c r="E130" i="49"/>
  <c r="E142" i="49" s="1"/>
  <c r="F278" i="33"/>
  <c r="G233" i="30"/>
  <c r="E78" i="45"/>
  <c r="J78" i="45" s="1"/>
  <c r="E71" i="49"/>
  <c r="E157" i="49" s="1"/>
  <c r="E169" i="49" s="1"/>
  <c r="E68" i="48"/>
  <c r="E154" i="48" s="1"/>
  <c r="E166" i="48" s="1"/>
  <c r="F131" i="48"/>
  <c r="F143" i="48" s="1"/>
  <c r="F233" i="30"/>
  <c r="H233" i="30"/>
  <c r="E135" i="50"/>
  <c r="E147" i="50" s="1"/>
  <c r="J221" i="30"/>
  <c r="Q24" i="40" s="1"/>
  <c r="G252" i="31"/>
  <c r="E44" i="47"/>
  <c r="E116" i="47" s="1"/>
  <c r="E45" i="47"/>
  <c r="E117" i="47" s="1"/>
  <c r="E47" i="47"/>
  <c r="E119" i="47" s="1"/>
  <c r="E49" i="47"/>
  <c r="E121" i="47" s="1"/>
  <c r="F47" i="47"/>
  <c r="F119" i="47" s="1"/>
  <c r="E46" i="47"/>
  <c r="E118" i="47" s="1"/>
  <c r="F44" i="47"/>
  <c r="F116" i="47" s="1"/>
  <c r="F49" i="47"/>
  <c r="F121" i="47" s="1"/>
  <c r="E48" i="47"/>
  <c r="E120" i="47" s="1"/>
  <c r="F46" i="47"/>
  <c r="F118" i="47" s="1"/>
  <c r="F45" i="47"/>
  <c r="F117" i="47" s="1"/>
  <c r="E51" i="47"/>
  <c r="E123" i="47" s="1"/>
  <c r="F48" i="47"/>
  <c r="F120" i="47" s="1"/>
  <c r="F51" i="47"/>
  <c r="F123" i="47" s="1"/>
  <c r="H252" i="31"/>
  <c r="G293" i="30"/>
  <c r="F151" i="47"/>
  <c r="F163" i="47" s="1"/>
  <c r="E278" i="33"/>
  <c r="F218" i="33"/>
  <c r="F226" i="33"/>
  <c r="F230" i="33" s="1"/>
  <c r="G227" i="33"/>
  <c r="G224" i="33"/>
  <c r="H222" i="33"/>
  <c r="H226" i="33"/>
  <c r="H229" i="33"/>
  <c r="G223" i="33"/>
  <c r="E230" i="33"/>
  <c r="G225" i="33"/>
  <c r="H221" i="33"/>
  <c r="H224" i="33"/>
  <c r="G229" i="33"/>
  <c r="G226" i="33"/>
  <c r="G222" i="33"/>
  <c r="H227" i="33"/>
  <c r="E218" i="33"/>
  <c r="H225" i="33"/>
  <c r="F194" i="33"/>
  <c r="E194" i="33"/>
  <c r="F117" i="33"/>
  <c r="K117" i="33" s="1"/>
  <c r="F112" i="45"/>
  <c r="F210" i="45" s="1"/>
  <c r="F222" i="45" s="1"/>
  <c r="F116" i="33"/>
  <c r="K116" i="33" s="1"/>
  <c r="E65" i="45"/>
  <c r="E175" i="45" s="1"/>
  <c r="E116" i="33"/>
  <c r="J116" i="33" s="1"/>
  <c r="F115" i="33"/>
  <c r="K115" i="33" s="1"/>
  <c r="H112" i="34"/>
  <c r="M112" i="34" s="1"/>
  <c r="E121" i="33"/>
  <c r="J121" i="33" s="1"/>
  <c r="G245" i="30"/>
  <c r="F245" i="30"/>
  <c r="F252" i="31"/>
  <c r="F281" i="31"/>
  <c r="F114" i="33"/>
  <c r="K114" i="33" s="1"/>
  <c r="H280" i="31"/>
  <c r="H293" i="30"/>
  <c r="H116" i="32"/>
  <c r="M116" i="32" s="1"/>
  <c r="F118" i="33"/>
  <c r="K118" i="33" s="1"/>
  <c r="F93" i="45"/>
  <c r="K93" i="45" s="1"/>
  <c r="H245" i="30"/>
  <c r="H115" i="31"/>
  <c r="E114" i="33"/>
  <c r="J114" i="33" s="1"/>
  <c r="G280" i="31"/>
  <c r="F293" i="30"/>
  <c r="F280" i="31"/>
  <c r="F168" i="45"/>
  <c r="E266" i="33"/>
  <c r="F112" i="50"/>
  <c r="E77" i="45"/>
  <c r="J77" i="45" s="1"/>
  <c r="E168" i="45"/>
  <c r="F80" i="45"/>
  <c r="K80" i="45" s="1"/>
  <c r="J47" i="45"/>
  <c r="F82" i="45"/>
  <c r="K82" i="45" s="1"/>
  <c r="E81" i="45"/>
  <c r="J81" i="45" s="1"/>
  <c r="F62" i="45"/>
  <c r="F172" i="45" s="1"/>
  <c r="E189" i="45"/>
  <c r="E201" i="45" s="1"/>
  <c r="E69" i="45"/>
  <c r="E179" i="45" s="1"/>
  <c r="E66" i="45"/>
  <c r="E112" i="45"/>
  <c r="E210" i="45" s="1"/>
  <c r="E222" i="45" s="1"/>
  <c r="F69" i="45"/>
  <c r="F179" i="45" s="1"/>
  <c r="E214" i="45"/>
  <c r="E226" i="45" s="1"/>
  <c r="F215" i="45"/>
  <c r="F227" i="45" s="1"/>
  <c r="H214" i="45"/>
  <c r="H226" i="45" s="1"/>
  <c r="E215" i="45"/>
  <c r="E227" i="45" s="1"/>
  <c r="G214" i="45"/>
  <c r="G226" i="45" s="1"/>
  <c r="E213" i="45"/>
  <c r="E225" i="45" s="1"/>
  <c r="F213" i="45"/>
  <c r="F225" i="45" s="1"/>
  <c r="F214" i="45"/>
  <c r="F226" i="45" s="1"/>
  <c r="J29" i="50"/>
  <c r="I28" i="40" s="1"/>
  <c r="G103" i="50"/>
  <c r="H158" i="50"/>
  <c r="H170" i="50" s="1"/>
  <c r="G158" i="50"/>
  <c r="G170" i="50" s="1"/>
  <c r="F158" i="50"/>
  <c r="F170" i="50" s="1"/>
  <c r="E158" i="50"/>
  <c r="E170" i="50" s="1"/>
  <c r="E159" i="50"/>
  <c r="E171" i="50" s="1"/>
  <c r="E156" i="50"/>
  <c r="E168" i="50" s="1"/>
  <c r="J29" i="49"/>
  <c r="I27" i="40" s="1"/>
  <c r="F70" i="49"/>
  <c r="F156" i="49" s="1"/>
  <c r="F168" i="49" s="1"/>
  <c r="E70" i="48"/>
  <c r="E156" i="48" s="1"/>
  <c r="E168" i="48" s="1"/>
  <c r="J29" i="48"/>
  <c r="I30" i="40" s="1"/>
  <c r="J29" i="47"/>
  <c r="F206" i="47"/>
  <c r="F218" i="47" s="1"/>
  <c r="F266" i="33"/>
  <c r="E287" i="33"/>
  <c r="E299" i="33" s="1"/>
  <c r="E284" i="33"/>
  <c r="E296" i="33" s="1"/>
  <c r="F284" i="33"/>
  <c r="F296" i="33" s="1"/>
  <c r="F287" i="33"/>
  <c r="F299" i="33" s="1"/>
  <c r="F286" i="33"/>
  <c r="F298" i="33" s="1"/>
  <c r="E285" i="33"/>
  <c r="E297" i="33" s="1"/>
  <c r="F285" i="33"/>
  <c r="F297" i="33" s="1"/>
  <c r="F289" i="33"/>
  <c r="F301" i="33" s="1"/>
  <c r="E289" i="33"/>
  <c r="E301" i="33" s="1"/>
  <c r="E286" i="33"/>
  <c r="E298" i="33" s="1"/>
  <c r="F287" i="31"/>
  <c r="G287" i="31"/>
  <c r="H286" i="31"/>
  <c r="H283" i="31"/>
  <c r="F286" i="31"/>
  <c r="G282" i="31"/>
  <c r="G286" i="31"/>
  <c r="F282" i="31"/>
  <c r="H285" i="31"/>
  <c r="F284" i="31"/>
  <c r="G283" i="31"/>
  <c r="G284" i="31"/>
  <c r="G281" i="30"/>
  <c r="H281" i="30"/>
  <c r="F281" i="30"/>
  <c r="J257" i="30"/>
  <c r="J209" i="30"/>
  <c r="F118" i="31"/>
  <c r="G112" i="31"/>
  <c r="F112" i="31"/>
  <c r="F113" i="31"/>
  <c r="F115" i="31"/>
  <c r="G140" i="33"/>
  <c r="G238" i="33" s="1"/>
  <c r="G250" i="33" s="1"/>
  <c r="G141" i="33"/>
  <c r="G239" i="33" s="1"/>
  <c r="G251" i="33" s="1"/>
  <c r="F135" i="47"/>
  <c r="F147" i="47" s="1"/>
  <c r="F114" i="31"/>
  <c r="F129" i="47"/>
  <c r="F141" i="47" s="1"/>
  <c r="G143" i="33"/>
  <c r="G241" i="33" s="1"/>
  <c r="G253" i="33" s="1"/>
  <c r="E133" i="47"/>
  <c r="E145" i="47" s="1"/>
  <c r="G135" i="33"/>
  <c r="G233" i="33" s="1"/>
  <c r="G245" i="33" s="1"/>
  <c r="H140" i="33"/>
  <c r="H238" i="33" s="1"/>
  <c r="H250" i="33" s="1"/>
  <c r="E127" i="50"/>
  <c r="E139" i="50" s="1"/>
  <c r="G138" i="33"/>
  <c r="G236" i="33" s="1"/>
  <c r="G248" i="33" s="1"/>
  <c r="H112" i="31"/>
  <c r="G118" i="31"/>
  <c r="E70" i="47"/>
  <c r="E156" i="47" s="1"/>
  <c r="E168" i="47" s="1"/>
  <c r="F199" i="47"/>
  <c r="F211" i="47" s="1"/>
  <c r="H262" i="33"/>
  <c r="H274" i="33" s="1"/>
  <c r="P140" i="33"/>
  <c r="H153" i="33" s="1"/>
  <c r="H260" i="33"/>
  <c r="H272" i="33" s="1"/>
  <c r="P138" i="33"/>
  <c r="H151" i="33" s="1"/>
  <c r="G262" i="33"/>
  <c r="G274" i="33" s="1"/>
  <c r="O140" i="33"/>
  <c r="G153" i="33" s="1"/>
  <c r="H257" i="33"/>
  <c r="H269" i="33" s="1"/>
  <c r="P135" i="33"/>
  <c r="H148" i="33" s="1"/>
  <c r="H281" i="33" s="1"/>
  <c r="H293" i="33" s="1"/>
  <c r="H258" i="33"/>
  <c r="H270" i="33" s="1"/>
  <c r="P136" i="33"/>
  <c r="H149" i="33" s="1"/>
  <c r="H282" i="33" s="1"/>
  <c r="H294" i="33" s="1"/>
  <c r="AE58" i="47"/>
  <c r="AE69" i="47" s="1"/>
  <c r="W58" i="47"/>
  <c r="W69" i="47" s="1"/>
  <c r="O58" i="47"/>
  <c r="AM58" i="47"/>
  <c r="AM69" i="47" s="1"/>
  <c r="G261" i="33"/>
  <c r="G273" i="33" s="1"/>
  <c r="O139" i="33"/>
  <c r="G152" i="33" s="1"/>
  <c r="H143" i="33"/>
  <c r="H241" i="33" s="1"/>
  <c r="H253" i="33" s="1"/>
  <c r="X55" i="47"/>
  <c r="X66" i="47" s="1"/>
  <c r="AF55" i="47"/>
  <c r="AF66" i="47" s="1"/>
  <c r="P55" i="47"/>
  <c r="AN55" i="47"/>
  <c r="AN66" i="47" s="1"/>
  <c r="H32" i="47"/>
  <c r="AN54" i="47"/>
  <c r="AN65" i="47" s="1"/>
  <c r="X54" i="47"/>
  <c r="X65" i="47" s="1"/>
  <c r="AF54" i="47"/>
  <c r="AF65" i="47" s="1"/>
  <c r="P54" i="47"/>
  <c r="G259" i="33"/>
  <c r="G271" i="33" s="1"/>
  <c r="O137" i="33"/>
  <c r="G150" i="33" s="1"/>
  <c r="G283" i="33" s="1"/>
  <c r="G295" i="33" s="1"/>
  <c r="E135" i="47"/>
  <c r="E147" i="47" s="1"/>
  <c r="G139" i="33"/>
  <c r="G237" i="33" s="1"/>
  <c r="G249" i="33" s="1"/>
  <c r="AF60" i="47"/>
  <c r="AF71" i="47" s="1"/>
  <c r="AN60" i="47"/>
  <c r="AN71" i="47" s="1"/>
  <c r="P60" i="47"/>
  <c r="X60" i="47"/>
  <c r="X71" i="47" s="1"/>
  <c r="G257" i="33"/>
  <c r="G269" i="33" s="1"/>
  <c r="O135" i="33"/>
  <c r="G148" i="33" s="1"/>
  <c r="G281" i="33" s="1"/>
  <c r="G293" i="33" s="1"/>
  <c r="H136" i="33"/>
  <c r="H234" i="33" s="1"/>
  <c r="H246" i="33" s="1"/>
  <c r="E113" i="33"/>
  <c r="J113" i="33" s="1"/>
  <c r="AM57" i="47"/>
  <c r="AM68" i="47" s="1"/>
  <c r="O57" i="47"/>
  <c r="W57" i="47"/>
  <c r="W68" i="47" s="1"/>
  <c r="AE57" i="47"/>
  <c r="AE68" i="47" s="1"/>
  <c r="X59" i="47"/>
  <c r="X70" i="47" s="1"/>
  <c r="P59" i="47"/>
  <c r="AN59" i="47"/>
  <c r="AN70" i="47" s="1"/>
  <c r="AF59" i="47"/>
  <c r="AF70" i="47" s="1"/>
  <c r="X62" i="47"/>
  <c r="X73" i="47" s="1"/>
  <c r="P62" i="47"/>
  <c r="AN62" i="47"/>
  <c r="AN73" i="47" s="1"/>
  <c r="AF62" i="47"/>
  <c r="AF73" i="47" s="1"/>
  <c r="G265" i="33"/>
  <c r="G277" i="33" s="1"/>
  <c r="O143" i="33"/>
  <c r="G156" i="33" s="1"/>
  <c r="H135" i="33"/>
  <c r="H233" i="33" s="1"/>
  <c r="H245" i="33" s="1"/>
  <c r="E206" i="47"/>
  <c r="E218" i="47" s="1"/>
  <c r="G206" i="47"/>
  <c r="G218" i="47" s="1"/>
  <c r="AE59" i="47"/>
  <c r="AE70" i="47" s="1"/>
  <c r="AM59" i="47"/>
  <c r="AM70" i="47" s="1"/>
  <c r="O59" i="47"/>
  <c r="W59" i="47"/>
  <c r="W70" i="47" s="1"/>
  <c r="H263" i="33"/>
  <c r="H275" i="33" s="1"/>
  <c r="P141" i="33"/>
  <c r="H154" i="33" s="1"/>
  <c r="G32" i="47"/>
  <c r="AE54" i="47"/>
  <c r="AE65" i="47" s="1"/>
  <c r="W54" i="47"/>
  <c r="W65" i="47" s="1"/>
  <c r="AM54" i="47"/>
  <c r="AM65" i="47" s="1"/>
  <c r="O54" i="47"/>
  <c r="H118" i="31"/>
  <c r="X56" i="47"/>
  <c r="X67" i="47" s="1"/>
  <c r="AF56" i="47"/>
  <c r="AF67" i="47" s="1"/>
  <c r="AN56" i="47"/>
  <c r="AN67" i="47" s="1"/>
  <c r="P56" i="47"/>
  <c r="W62" i="47"/>
  <c r="W73" i="47" s="1"/>
  <c r="AM62" i="47"/>
  <c r="AM73" i="47" s="1"/>
  <c r="O62" i="47"/>
  <c r="AE62" i="47"/>
  <c r="AE73" i="47" s="1"/>
  <c r="G263" i="33"/>
  <c r="G275" i="33" s="1"/>
  <c r="O141" i="33"/>
  <c r="G154" i="33" s="1"/>
  <c r="H141" i="33"/>
  <c r="H239" i="33" s="1"/>
  <c r="H251" i="33" s="1"/>
  <c r="AN58" i="47"/>
  <c r="AN69" i="47" s="1"/>
  <c r="P58" i="47"/>
  <c r="X58" i="47"/>
  <c r="X69" i="47" s="1"/>
  <c r="AF58" i="47"/>
  <c r="AF69" i="47" s="1"/>
  <c r="H206" i="47"/>
  <c r="H218" i="47" s="1"/>
  <c r="H138" i="33"/>
  <c r="H236" i="33" s="1"/>
  <c r="H248" i="33" s="1"/>
  <c r="G137" i="33"/>
  <c r="G235" i="33" s="1"/>
  <c r="G247" i="33" s="1"/>
  <c r="W60" i="47"/>
  <c r="W71" i="47" s="1"/>
  <c r="AE60" i="47"/>
  <c r="AE71" i="47" s="1"/>
  <c r="AM60" i="47"/>
  <c r="AM71" i="47" s="1"/>
  <c r="O60" i="47"/>
  <c r="G260" i="33"/>
  <c r="G272" i="33" s="1"/>
  <c r="O138" i="33"/>
  <c r="G151" i="33" s="1"/>
  <c r="H139" i="33"/>
  <c r="H237" i="33" s="1"/>
  <c r="H249" i="33" s="1"/>
  <c r="G136" i="33"/>
  <c r="G234" i="33" s="1"/>
  <c r="G246" i="33" s="1"/>
  <c r="AE55" i="47"/>
  <c r="AE66" i="47" s="1"/>
  <c r="AM55" i="47"/>
  <c r="AM66" i="47" s="1"/>
  <c r="O55" i="47"/>
  <c r="W55" i="47"/>
  <c r="W66" i="47" s="1"/>
  <c r="AM56" i="47"/>
  <c r="AM67" i="47" s="1"/>
  <c r="O56" i="47"/>
  <c r="W56" i="47"/>
  <c r="W67" i="47" s="1"/>
  <c r="AE56" i="47"/>
  <c r="AE67" i="47" s="1"/>
  <c r="AF57" i="47"/>
  <c r="AF68" i="47" s="1"/>
  <c r="AN57" i="47"/>
  <c r="AN68" i="47" s="1"/>
  <c r="X57" i="47"/>
  <c r="X68" i="47" s="1"/>
  <c r="P57" i="47"/>
  <c r="H259" i="33"/>
  <c r="H271" i="33" s="1"/>
  <c r="P137" i="33"/>
  <c r="H150" i="33" s="1"/>
  <c r="H283" i="33" s="1"/>
  <c r="H295" i="33" s="1"/>
  <c r="H261" i="33"/>
  <c r="H273" i="33" s="1"/>
  <c r="P139" i="33"/>
  <c r="H152" i="33" s="1"/>
  <c r="H265" i="33"/>
  <c r="H277" i="33" s="1"/>
  <c r="P143" i="33"/>
  <c r="H156" i="33" s="1"/>
  <c r="H137" i="33"/>
  <c r="H235" i="33" s="1"/>
  <c r="H247" i="33" s="1"/>
  <c r="G258" i="33"/>
  <c r="G270" i="33" s="1"/>
  <c r="O136" i="33"/>
  <c r="G149" i="33" s="1"/>
  <c r="G282" i="33" s="1"/>
  <c r="G294" i="33" s="1"/>
  <c r="E78" i="47"/>
  <c r="E144" i="29"/>
  <c r="E145" i="29" s="1"/>
  <c r="F185" i="45"/>
  <c r="F197" i="45" s="1"/>
  <c r="E82" i="45"/>
  <c r="J82" i="45" s="1"/>
  <c r="E67" i="45"/>
  <c r="E177" i="45" s="1"/>
  <c r="F189" i="45"/>
  <c r="F201" i="45" s="1"/>
  <c r="E131" i="47"/>
  <c r="E143" i="47" s="1"/>
  <c r="E61" i="45"/>
  <c r="E171" i="45" s="1"/>
  <c r="F67" i="50"/>
  <c r="E76" i="45"/>
  <c r="J76" i="45" s="1"/>
  <c r="E132" i="50"/>
  <c r="E144" i="50" s="1"/>
  <c r="E191" i="45"/>
  <c r="E203" i="45" s="1"/>
  <c r="E185" i="45"/>
  <c r="E197" i="45" s="1"/>
  <c r="F114" i="45"/>
  <c r="F66" i="48"/>
  <c r="F152" i="48" s="1"/>
  <c r="F164" i="48" s="1"/>
  <c r="F110" i="45"/>
  <c r="F208" i="45" s="1"/>
  <c r="F220" i="45" s="1"/>
  <c r="E73" i="48"/>
  <c r="E159" i="48" s="1"/>
  <c r="E171" i="48" s="1"/>
  <c r="E90" i="45"/>
  <c r="J90" i="45" s="1"/>
  <c r="E79" i="45"/>
  <c r="J79" i="45" s="1"/>
  <c r="E113" i="45"/>
  <c r="F191" i="45"/>
  <c r="F203" i="45" s="1"/>
  <c r="F79" i="45"/>
  <c r="K79" i="45" s="1"/>
  <c r="F113" i="45"/>
  <c r="E114" i="45"/>
  <c r="H51" i="45"/>
  <c r="H99" i="45"/>
  <c r="G33" i="47"/>
  <c r="G55" i="47"/>
  <c r="G56" i="50"/>
  <c r="G34" i="50"/>
  <c r="F132" i="50"/>
  <c r="F144" i="50" s="1"/>
  <c r="F70" i="50"/>
  <c r="H33" i="49"/>
  <c r="H55" i="49"/>
  <c r="G56" i="49"/>
  <c r="G34" i="49"/>
  <c r="H59" i="47"/>
  <c r="H37" i="47"/>
  <c r="E65" i="49"/>
  <c r="E151" i="49" s="1"/>
  <c r="E163" i="49" s="1"/>
  <c r="E71" i="48"/>
  <c r="E157" i="48" s="1"/>
  <c r="E169" i="48" s="1"/>
  <c r="E133" i="48"/>
  <c r="E145" i="48" s="1"/>
  <c r="H58" i="50"/>
  <c r="H36" i="50"/>
  <c r="H62" i="49"/>
  <c r="H40" i="49"/>
  <c r="H60" i="48"/>
  <c r="H38" i="48"/>
  <c r="H49" i="48" s="1"/>
  <c r="H121" i="48" s="1"/>
  <c r="H56" i="47"/>
  <c r="H34" i="47"/>
  <c r="G56" i="47"/>
  <c r="G34" i="47"/>
  <c r="H59" i="48"/>
  <c r="H37" i="48"/>
  <c r="H48" i="48" s="1"/>
  <c r="H120" i="48" s="1"/>
  <c r="H57" i="50"/>
  <c r="H35" i="50"/>
  <c r="H54" i="47"/>
  <c r="H58" i="49"/>
  <c r="H36" i="49"/>
  <c r="H106" i="45"/>
  <c r="H58" i="45"/>
  <c r="H38" i="49"/>
  <c r="H60" i="49"/>
  <c r="G55" i="45"/>
  <c r="G103" i="45"/>
  <c r="H34" i="49"/>
  <c r="H56" i="49"/>
  <c r="E66" i="49"/>
  <c r="E152" i="49" s="1"/>
  <c r="E164" i="49" s="1"/>
  <c r="E128" i="49"/>
  <c r="E140" i="49" s="1"/>
  <c r="H55" i="45"/>
  <c r="H103" i="45"/>
  <c r="H57" i="49"/>
  <c r="H35" i="49"/>
  <c r="H54" i="48"/>
  <c r="H32" i="48"/>
  <c r="H43" i="48" s="1"/>
  <c r="H115" i="48" s="1"/>
  <c r="H54" i="45"/>
  <c r="H102" i="45"/>
  <c r="H62" i="47"/>
  <c r="H40" i="47"/>
  <c r="H56" i="45"/>
  <c r="H104" i="45"/>
  <c r="G57" i="50"/>
  <c r="G35" i="50"/>
  <c r="H59" i="49"/>
  <c r="H37" i="49"/>
  <c r="F71" i="47"/>
  <c r="F157" i="47" s="1"/>
  <c r="F169" i="47" s="1"/>
  <c r="F133" i="47"/>
  <c r="F145" i="47" s="1"/>
  <c r="H56" i="48"/>
  <c r="H34" i="48"/>
  <c r="H45" i="48" s="1"/>
  <c r="H117" i="48" s="1"/>
  <c r="H37" i="50"/>
  <c r="H59" i="50"/>
  <c r="H58" i="48"/>
  <c r="H36" i="48"/>
  <c r="H47" i="48" s="1"/>
  <c r="H119" i="48" s="1"/>
  <c r="H53" i="45"/>
  <c r="H101" i="45"/>
  <c r="H54" i="49"/>
  <c r="H32" i="49"/>
  <c r="H36" i="47"/>
  <c r="H58" i="47"/>
  <c r="E110" i="45"/>
  <c r="E208" i="45" s="1"/>
  <c r="E220" i="45" s="1"/>
  <c r="E131" i="50"/>
  <c r="E143" i="50" s="1"/>
  <c r="E69" i="50"/>
  <c r="F129" i="48"/>
  <c r="F141" i="48" s="1"/>
  <c r="F67" i="48"/>
  <c r="F153" i="48" s="1"/>
  <c r="F165" i="48" s="1"/>
  <c r="E129" i="50"/>
  <c r="E141" i="50" s="1"/>
  <c r="E67" i="50"/>
  <c r="G59" i="48"/>
  <c r="G37" i="48"/>
  <c r="G48" i="48" s="1"/>
  <c r="G120" i="48" s="1"/>
  <c r="F68" i="48"/>
  <c r="F154" i="48" s="1"/>
  <c r="F166" i="48" s="1"/>
  <c r="F130" i="48"/>
  <c r="F142" i="48" s="1"/>
  <c r="G54" i="47"/>
  <c r="E129" i="48"/>
  <c r="E141" i="48" s="1"/>
  <c r="E67" i="48"/>
  <c r="E153" i="48" s="1"/>
  <c r="E165" i="48" s="1"/>
  <c r="G55" i="50"/>
  <c r="G33" i="50"/>
  <c r="G53" i="45"/>
  <c r="G101" i="45"/>
  <c r="F68" i="47"/>
  <c r="F154" i="47" s="1"/>
  <c r="F166" i="47" s="1"/>
  <c r="F130" i="47"/>
  <c r="F142" i="47" s="1"/>
  <c r="G32" i="49"/>
  <c r="G54" i="49"/>
  <c r="G58" i="47"/>
  <c r="G36" i="47"/>
  <c r="G40" i="49"/>
  <c r="G62" i="49"/>
  <c r="G38" i="47"/>
  <c r="G60" i="47"/>
  <c r="G59" i="47"/>
  <c r="G37" i="47"/>
  <c r="H62" i="50"/>
  <c r="H40" i="50"/>
  <c r="E67" i="49"/>
  <c r="E153" i="49" s="1"/>
  <c r="E165" i="49" s="1"/>
  <c r="E129" i="49"/>
  <c r="E141" i="49" s="1"/>
  <c r="G58" i="49"/>
  <c r="G36" i="49"/>
  <c r="G37" i="49"/>
  <c r="G59" i="49"/>
  <c r="F70" i="47"/>
  <c r="F156" i="47" s="1"/>
  <c r="F168" i="47" s="1"/>
  <c r="F132" i="47"/>
  <c r="F144" i="47" s="1"/>
  <c r="E128" i="48"/>
  <c r="E140" i="48" s="1"/>
  <c r="E66" i="48"/>
  <c r="E152" i="48" s="1"/>
  <c r="E164" i="48" s="1"/>
  <c r="H35" i="47"/>
  <c r="H57" i="47"/>
  <c r="F128" i="49"/>
  <c r="F140" i="49" s="1"/>
  <c r="F66" i="49"/>
  <c r="F152" i="49" s="1"/>
  <c r="F164" i="49" s="1"/>
  <c r="G60" i="49"/>
  <c r="G38" i="49"/>
  <c r="H55" i="50"/>
  <c r="H33" i="50"/>
  <c r="E67" i="47"/>
  <c r="E153" i="47" s="1"/>
  <c r="E165" i="47" s="1"/>
  <c r="E129" i="47"/>
  <c r="E141" i="47" s="1"/>
  <c r="G51" i="45"/>
  <c r="G99" i="45"/>
  <c r="G57" i="49"/>
  <c r="G35" i="49"/>
  <c r="G98" i="45"/>
  <c r="G50" i="45"/>
  <c r="F73" i="48"/>
  <c r="F159" i="48" s="1"/>
  <c r="F171" i="48" s="1"/>
  <c r="F135" i="48"/>
  <c r="F147" i="48" s="1"/>
  <c r="F133" i="49"/>
  <c r="F145" i="49" s="1"/>
  <c r="F71" i="49"/>
  <c r="F157" i="49" s="1"/>
  <c r="F169" i="49" s="1"/>
  <c r="G106" i="45"/>
  <c r="G58" i="45"/>
  <c r="E66" i="50"/>
  <c r="E128" i="50"/>
  <c r="E140" i="50" s="1"/>
  <c r="F68" i="49"/>
  <c r="F154" i="49" s="1"/>
  <c r="F166" i="49" s="1"/>
  <c r="F130" i="49"/>
  <c r="F142" i="49" s="1"/>
  <c r="G60" i="50"/>
  <c r="G38" i="50"/>
  <c r="F67" i="49"/>
  <c r="F153" i="49" s="1"/>
  <c r="F165" i="49" s="1"/>
  <c r="F129" i="49"/>
  <c r="F141" i="49" s="1"/>
  <c r="H38" i="50"/>
  <c r="H60" i="50"/>
  <c r="F133" i="50"/>
  <c r="F145" i="50" s="1"/>
  <c r="F71" i="50"/>
  <c r="H35" i="48"/>
  <c r="H46" i="48" s="1"/>
  <c r="H118" i="48" s="1"/>
  <c r="H57" i="48"/>
  <c r="H54" i="50"/>
  <c r="H32" i="50"/>
  <c r="H56" i="50"/>
  <c r="H34" i="50"/>
  <c r="H40" i="48"/>
  <c r="H51" i="48" s="1"/>
  <c r="H123" i="48" s="1"/>
  <c r="H62" i="48"/>
  <c r="E66" i="47"/>
  <c r="E152" i="47" s="1"/>
  <c r="E164" i="47" s="1"/>
  <c r="E128" i="47"/>
  <c r="E140" i="47" s="1"/>
  <c r="G54" i="48"/>
  <c r="G32" i="48"/>
  <c r="G43" i="48" s="1"/>
  <c r="G115" i="48" s="1"/>
  <c r="G58" i="48"/>
  <c r="G36" i="48"/>
  <c r="G47" i="48" s="1"/>
  <c r="G119" i="48" s="1"/>
  <c r="H98" i="45"/>
  <c r="H50" i="45"/>
  <c r="F131" i="50"/>
  <c r="F143" i="50" s="1"/>
  <c r="F69" i="50"/>
  <c r="G62" i="47"/>
  <c r="G40" i="47"/>
  <c r="G60" i="48"/>
  <c r="G38" i="48"/>
  <c r="G49" i="48" s="1"/>
  <c r="G121" i="48" s="1"/>
  <c r="H55" i="47"/>
  <c r="H33" i="47"/>
  <c r="E127" i="48"/>
  <c r="E139" i="48" s="1"/>
  <c r="E65" i="48"/>
  <c r="E151" i="48" s="1"/>
  <c r="E163" i="48" s="1"/>
  <c r="G33" i="48"/>
  <c r="G44" i="48" s="1"/>
  <c r="G116" i="48" s="1"/>
  <c r="G55" i="48"/>
  <c r="G35" i="48"/>
  <c r="G46" i="48" s="1"/>
  <c r="G118" i="48" s="1"/>
  <c r="G57" i="48"/>
  <c r="G52" i="45"/>
  <c r="G100" i="45"/>
  <c r="F130" i="50"/>
  <c r="F142" i="50" s="1"/>
  <c r="F68" i="50"/>
  <c r="E127" i="47"/>
  <c r="F135" i="49"/>
  <c r="F147" i="49" s="1"/>
  <c r="F73" i="49"/>
  <c r="F159" i="49" s="1"/>
  <c r="F171" i="49" s="1"/>
  <c r="F131" i="49"/>
  <c r="F143" i="49" s="1"/>
  <c r="F69" i="49"/>
  <c r="F155" i="49" s="1"/>
  <c r="F167" i="49" s="1"/>
  <c r="G62" i="50"/>
  <c r="G40" i="50"/>
  <c r="E70" i="49"/>
  <c r="E156" i="49" s="1"/>
  <c r="E168" i="49" s="1"/>
  <c r="E132" i="49"/>
  <c r="E144" i="49" s="1"/>
  <c r="F66" i="47"/>
  <c r="F152" i="47" s="1"/>
  <c r="F164" i="47" s="1"/>
  <c r="F128" i="47"/>
  <c r="F70" i="48"/>
  <c r="F156" i="48" s="1"/>
  <c r="F168" i="48" s="1"/>
  <c r="F132" i="48"/>
  <c r="F144" i="48" s="1"/>
  <c r="E68" i="47"/>
  <c r="E154" i="47" s="1"/>
  <c r="E166" i="47" s="1"/>
  <c r="E130" i="47"/>
  <c r="E142" i="47" s="1"/>
  <c r="E131" i="48"/>
  <c r="E143" i="48" s="1"/>
  <c r="E69" i="48"/>
  <c r="E155" i="48" s="1"/>
  <c r="E167" i="48" s="1"/>
  <c r="E68" i="50"/>
  <c r="E130" i="50"/>
  <c r="E142" i="50" s="1"/>
  <c r="G102" i="45"/>
  <c r="G54" i="45"/>
  <c r="H38" i="47"/>
  <c r="H60" i="47"/>
  <c r="G59" i="50"/>
  <c r="G37" i="50"/>
  <c r="G54" i="50"/>
  <c r="G32" i="50"/>
  <c r="F135" i="50"/>
  <c r="F147" i="50" s="1"/>
  <c r="F73" i="50"/>
  <c r="H100" i="45"/>
  <c r="H52" i="45"/>
  <c r="G58" i="50"/>
  <c r="G36" i="50"/>
  <c r="G56" i="45"/>
  <c r="G104" i="45"/>
  <c r="H55" i="48"/>
  <c r="H33" i="48"/>
  <c r="H44" i="48" s="1"/>
  <c r="H116" i="48" s="1"/>
  <c r="F69" i="47"/>
  <c r="F155" i="47" s="1"/>
  <c r="F167" i="47" s="1"/>
  <c r="F131" i="47"/>
  <c r="F143" i="47" s="1"/>
  <c r="E133" i="50"/>
  <c r="E145" i="50" s="1"/>
  <c r="E71" i="50"/>
  <c r="G55" i="49"/>
  <c r="G33" i="49"/>
  <c r="G35" i="47"/>
  <c r="G57" i="47"/>
  <c r="E131" i="49"/>
  <c r="E143" i="49" s="1"/>
  <c r="E69" i="49"/>
  <c r="E155" i="49" s="1"/>
  <c r="E167" i="49" s="1"/>
  <c r="G56" i="48"/>
  <c r="G34" i="48"/>
  <c r="G45" i="48" s="1"/>
  <c r="G117" i="48" s="1"/>
  <c r="G62" i="48"/>
  <c r="G40" i="48"/>
  <c r="G51" i="48" s="1"/>
  <c r="G123" i="48" s="1"/>
  <c r="H94" i="45"/>
  <c r="M94" i="45" s="1"/>
  <c r="E94" i="45"/>
  <c r="J94" i="45" s="1"/>
  <c r="F94" i="45"/>
  <c r="K94" i="45" s="1"/>
  <c r="G94" i="45"/>
  <c r="L94" i="45" s="1"/>
  <c r="F90" i="45"/>
  <c r="K90" i="45" s="1"/>
  <c r="E89" i="45"/>
  <c r="J89" i="45" s="1"/>
  <c r="F91" i="45"/>
  <c r="K91" i="45" s="1"/>
  <c r="E88" i="45"/>
  <c r="J88" i="45" s="1"/>
  <c r="F87" i="45"/>
  <c r="K87" i="45" s="1"/>
  <c r="H101" i="43"/>
  <c r="M101" i="43" s="1"/>
  <c r="F101" i="43"/>
  <c r="K101" i="43" s="1"/>
  <c r="H91" i="33"/>
  <c r="H201" i="33" s="1"/>
  <c r="H114" i="31"/>
  <c r="H107" i="30"/>
  <c r="G107" i="33"/>
  <c r="L107" i="33" s="1"/>
  <c r="H35" i="35"/>
  <c r="H144" i="29" s="1"/>
  <c r="H145" i="29" s="1"/>
  <c r="H17" i="44"/>
  <c r="H196" i="44" s="1"/>
  <c r="G102" i="33"/>
  <c r="L102" i="33" s="1"/>
  <c r="H110" i="33"/>
  <c r="M110" i="33" s="1"/>
  <c r="H88" i="33"/>
  <c r="H198" i="33" s="1"/>
  <c r="H103" i="33"/>
  <c r="M103" i="33" s="1"/>
  <c r="G103" i="33"/>
  <c r="L103" i="33" s="1"/>
  <c r="H107" i="33"/>
  <c r="M107" i="33" s="1"/>
  <c r="F113" i="33"/>
  <c r="K113" i="33" s="1"/>
  <c r="F121" i="33"/>
  <c r="K121" i="33" s="1"/>
  <c r="H105" i="33"/>
  <c r="M105" i="33" s="1"/>
  <c r="G88" i="33"/>
  <c r="G198" i="33" s="1"/>
  <c r="H89" i="33"/>
  <c r="H199" i="33" s="1"/>
  <c r="H104" i="33"/>
  <c r="M104" i="33" s="1"/>
  <c r="G35" i="35"/>
  <c r="G144" i="29" s="1"/>
  <c r="G145" i="29" s="1"/>
  <c r="G17" i="44"/>
  <c r="G196" i="44" s="1"/>
  <c r="G105" i="33"/>
  <c r="L105" i="33" s="1"/>
  <c r="H87" i="33"/>
  <c r="H197" i="33" s="1"/>
  <c r="H102" i="33"/>
  <c r="M102" i="33" s="1"/>
  <c r="F115" i="44"/>
  <c r="F151" i="44"/>
  <c r="E117" i="33"/>
  <c r="J117" i="33" s="1"/>
  <c r="E118" i="33"/>
  <c r="J118" i="33" s="1"/>
  <c r="E151" i="44"/>
  <c r="E115" i="44"/>
  <c r="E115" i="33"/>
  <c r="J115" i="33" s="1"/>
  <c r="H99" i="43"/>
  <c r="H95" i="33"/>
  <c r="H205" i="33" s="1"/>
  <c r="H90" i="33"/>
  <c r="H200" i="33" s="1"/>
  <c r="H92" i="33"/>
  <c r="H202" i="33" s="1"/>
  <c r="K104" i="30"/>
  <c r="G89" i="33"/>
  <c r="G199" i="33" s="1"/>
  <c r="G90" i="33"/>
  <c r="G200" i="33" s="1"/>
  <c r="L104" i="33"/>
  <c r="G91" i="33"/>
  <c r="G201" i="33" s="1"/>
  <c r="L106" i="33"/>
  <c r="G92" i="33"/>
  <c r="G202" i="33" s="1"/>
  <c r="G95" i="33"/>
  <c r="G205" i="33" s="1"/>
  <c r="G87" i="33"/>
  <c r="G197" i="33" s="1"/>
  <c r="L110" i="33"/>
  <c r="L107" i="30"/>
  <c r="L112" i="30"/>
  <c r="L108" i="30"/>
  <c r="L106" i="30"/>
  <c r="L109" i="30"/>
  <c r="L111" i="30"/>
  <c r="H281" i="31" l="1"/>
  <c r="G115" i="31"/>
  <c r="G281" i="31"/>
  <c r="G288" i="31" s="1"/>
  <c r="G276" i="31"/>
  <c r="J216" i="31"/>
  <c r="H294" i="31"/>
  <c r="G114" i="31"/>
  <c r="F188" i="50"/>
  <c r="F196" i="50" s="1"/>
  <c r="F188" i="48"/>
  <c r="F196" i="48" s="1"/>
  <c r="E196" i="49"/>
  <c r="F188" i="47"/>
  <c r="F196" i="47" s="1"/>
  <c r="J181" i="43"/>
  <c r="O44" i="40" s="1"/>
  <c r="H130" i="35"/>
  <c r="H223" i="35" s="1"/>
  <c r="H232" i="35" s="1"/>
  <c r="J232" i="35" s="1"/>
  <c r="O35" i="40" s="1"/>
  <c r="E196" i="48"/>
  <c r="F124" i="47"/>
  <c r="E124" i="47"/>
  <c r="E196" i="47"/>
  <c r="E196" i="50"/>
  <c r="F196" i="49"/>
  <c r="G124" i="48"/>
  <c r="H124" i="48"/>
  <c r="G264" i="31"/>
  <c r="F184" i="50"/>
  <c r="F204" i="45"/>
  <c r="G240" i="31"/>
  <c r="H112" i="50"/>
  <c r="G112" i="49"/>
  <c r="E184" i="49"/>
  <c r="F184" i="48"/>
  <c r="F172" i="49"/>
  <c r="E244" i="44"/>
  <c r="E252" i="44" s="1"/>
  <c r="H240" i="31"/>
  <c r="F220" i="50"/>
  <c r="H112" i="49"/>
  <c r="G297" i="31"/>
  <c r="G300" i="31" s="1"/>
  <c r="F184" i="49"/>
  <c r="G112" i="48"/>
  <c r="H112" i="48"/>
  <c r="P73" i="50"/>
  <c r="H86" i="50" s="1"/>
  <c r="H207" i="50" s="1"/>
  <c r="H219" i="50" s="1"/>
  <c r="H183" i="50"/>
  <c r="H195" i="50" s="1"/>
  <c r="P67" i="50"/>
  <c r="H80" i="50" s="1"/>
  <c r="H201" i="50" s="1"/>
  <c r="H213" i="50" s="1"/>
  <c r="H177" i="50"/>
  <c r="H189" i="50" s="1"/>
  <c r="G179" i="49"/>
  <c r="G191" i="49" s="1"/>
  <c r="O69" i="49"/>
  <c r="G82" i="49" s="1"/>
  <c r="G203" i="49" s="1"/>
  <c r="G215" i="49" s="1"/>
  <c r="P70" i="50"/>
  <c r="H83" i="50" s="1"/>
  <c r="H204" i="50" s="1"/>
  <c r="H216" i="50" s="1"/>
  <c r="H180" i="50"/>
  <c r="H192" i="50" s="1"/>
  <c r="E184" i="50"/>
  <c r="G175" i="49"/>
  <c r="G187" i="49" s="1"/>
  <c r="O65" i="49"/>
  <c r="G78" i="49" s="1"/>
  <c r="G199" i="49" s="1"/>
  <c r="O71" i="47"/>
  <c r="G84" i="47" s="1"/>
  <c r="G181" i="47"/>
  <c r="G193" i="47" s="1"/>
  <c r="O65" i="47"/>
  <c r="G78" i="47" s="1"/>
  <c r="G175" i="47"/>
  <c r="G187" i="47" s="1"/>
  <c r="G181" i="50"/>
  <c r="G193" i="50" s="1"/>
  <c r="O71" i="50"/>
  <c r="G84" i="50" s="1"/>
  <c r="G205" i="50" s="1"/>
  <c r="G217" i="50" s="1"/>
  <c r="O73" i="50"/>
  <c r="G86" i="50" s="1"/>
  <c r="G207" i="50" s="1"/>
  <c r="G219" i="50" s="1"/>
  <c r="G183" i="50"/>
  <c r="G195" i="50" s="1"/>
  <c r="P66" i="50"/>
  <c r="H79" i="50" s="1"/>
  <c r="H200" i="50" s="1"/>
  <c r="H212" i="50" s="1"/>
  <c r="H176" i="50"/>
  <c r="H188" i="50" s="1"/>
  <c r="P66" i="47"/>
  <c r="H176" i="47"/>
  <c r="H188" i="47" s="1"/>
  <c r="P68" i="50"/>
  <c r="H81" i="50" s="1"/>
  <c r="H202" i="50" s="1"/>
  <c r="H214" i="50" s="1"/>
  <c r="H178" i="50"/>
  <c r="H190" i="50" s="1"/>
  <c r="H183" i="49"/>
  <c r="H195" i="49" s="1"/>
  <c r="P73" i="49"/>
  <c r="H86" i="49" s="1"/>
  <c r="H207" i="49" s="1"/>
  <c r="H219" i="49" s="1"/>
  <c r="O73" i="47"/>
  <c r="G86" i="47" s="1"/>
  <c r="G183" i="47"/>
  <c r="G195" i="47" s="1"/>
  <c r="H181" i="48"/>
  <c r="H193" i="48" s="1"/>
  <c r="P71" i="48"/>
  <c r="H84" i="48" s="1"/>
  <c r="H205" i="48" s="1"/>
  <c r="H217" i="48" s="1"/>
  <c r="H175" i="48"/>
  <c r="H187" i="48" s="1"/>
  <c r="P65" i="48"/>
  <c r="H78" i="48" s="1"/>
  <c r="H199" i="48" s="1"/>
  <c r="G181" i="49"/>
  <c r="G193" i="49" s="1"/>
  <c r="O71" i="49"/>
  <c r="G84" i="49" s="1"/>
  <c r="G205" i="49" s="1"/>
  <c r="G217" i="49" s="1"/>
  <c r="O69" i="50"/>
  <c r="G82" i="50" s="1"/>
  <c r="G203" i="50" s="1"/>
  <c r="G215" i="50" s="1"/>
  <c r="G179" i="50"/>
  <c r="G191" i="50" s="1"/>
  <c r="G176" i="49"/>
  <c r="G188" i="49" s="1"/>
  <c r="O66" i="49"/>
  <c r="G79" i="49" s="1"/>
  <c r="G200" i="49" s="1"/>
  <c r="G212" i="49" s="1"/>
  <c r="G181" i="48"/>
  <c r="G193" i="48" s="1"/>
  <c r="O71" i="48"/>
  <c r="G84" i="48" s="1"/>
  <c r="G205" i="48" s="1"/>
  <c r="G217" i="48" s="1"/>
  <c r="G178" i="49"/>
  <c r="G190" i="49" s="1"/>
  <c r="O68" i="49"/>
  <c r="G81" i="49" s="1"/>
  <c r="G202" i="49" s="1"/>
  <c r="G214" i="49" s="1"/>
  <c r="H179" i="48"/>
  <c r="H191" i="48" s="1"/>
  <c r="P69" i="48"/>
  <c r="H82" i="48" s="1"/>
  <c r="H203" i="48" s="1"/>
  <c r="H215" i="48" s="1"/>
  <c r="E211" i="48"/>
  <c r="E220" i="48" s="1"/>
  <c r="E208" i="48"/>
  <c r="F208" i="48"/>
  <c r="E172" i="49"/>
  <c r="O66" i="47"/>
  <c r="G79" i="47" s="1"/>
  <c r="G176" i="47"/>
  <c r="G188" i="47" s="1"/>
  <c r="F297" i="31"/>
  <c r="F300" i="31" s="1"/>
  <c r="E184" i="48"/>
  <c r="H180" i="48"/>
  <c r="H192" i="48" s="1"/>
  <c r="P70" i="48"/>
  <c r="H83" i="48" s="1"/>
  <c r="H204" i="48" s="1"/>
  <c r="H216" i="48" s="1"/>
  <c r="H176" i="49"/>
  <c r="H188" i="49" s="1"/>
  <c r="P66" i="49"/>
  <c r="H79" i="49" s="1"/>
  <c r="H200" i="49" s="1"/>
  <c r="H212" i="49" s="1"/>
  <c r="O67" i="50"/>
  <c r="G80" i="50" s="1"/>
  <c r="G201" i="50" s="1"/>
  <c r="G213" i="50" s="1"/>
  <c r="G177" i="50"/>
  <c r="G189" i="50" s="1"/>
  <c r="G176" i="48"/>
  <c r="G188" i="48" s="1"/>
  <c r="O66" i="48"/>
  <c r="G79" i="48" s="1"/>
  <c r="G200" i="48" s="1"/>
  <c r="G212" i="48" s="1"/>
  <c r="F208" i="49"/>
  <c r="E211" i="49"/>
  <c r="E220" i="49" s="1"/>
  <c r="E208" i="49"/>
  <c r="P70" i="47"/>
  <c r="H83" i="47" s="1"/>
  <c r="H180" i="47"/>
  <c r="H192" i="47" s="1"/>
  <c r="G179" i="48"/>
  <c r="G191" i="48" s="1"/>
  <c r="O69" i="48"/>
  <c r="G82" i="48" s="1"/>
  <c r="G203" i="48" s="1"/>
  <c r="G215" i="48" s="1"/>
  <c r="O65" i="50"/>
  <c r="G78" i="50" s="1"/>
  <c r="G199" i="50" s="1"/>
  <c r="G175" i="50"/>
  <c r="G187" i="50" s="1"/>
  <c r="O67" i="47"/>
  <c r="G80" i="47" s="1"/>
  <c r="G177" i="47"/>
  <c r="G189" i="47" s="1"/>
  <c r="H176" i="48"/>
  <c r="H188" i="48" s="1"/>
  <c r="P66" i="48"/>
  <c r="H79" i="48" s="1"/>
  <c r="H200" i="48" s="1"/>
  <c r="H212" i="48" s="1"/>
  <c r="F220" i="48"/>
  <c r="P67" i="47"/>
  <c r="H177" i="47"/>
  <c r="H189" i="47" s="1"/>
  <c r="P73" i="47"/>
  <c r="H86" i="47" s="1"/>
  <c r="H183" i="47"/>
  <c r="H195" i="47" s="1"/>
  <c r="H299" i="31"/>
  <c r="O68" i="50"/>
  <c r="G81" i="50" s="1"/>
  <c r="G202" i="50" s="1"/>
  <c r="G214" i="50" s="1"/>
  <c r="G178" i="50"/>
  <c r="G190" i="50" s="1"/>
  <c r="G175" i="48"/>
  <c r="G187" i="48" s="1"/>
  <c r="O65" i="48"/>
  <c r="G78" i="48" s="1"/>
  <c r="G199" i="48" s="1"/>
  <c r="P71" i="50"/>
  <c r="H84" i="50" s="1"/>
  <c r="H205" i="50" s="1"/>
  <c r="H217" i="50" s="1"/>
  <c r="H181" i="50"/>
  <c r="H193" i="50" s="1"/>
  <c r="G178" i="48"/>
  <c r="G190" i="48" s="1"/>
  <c r="O68" i="48"/>
  <c r="G81" i="48" s="1"/>
  <c r="G202" i="48" s="1"/>
  <c r="G214" i="48" s="1"/>
  <c r="G180" i="48"/>
  <c r="G192" i="48" s="1"/>
  <c r="O70" i="48"/>
  <c r="G83" i="48" s="1"/>
  <c r="G204" i="48" s="1"/>
  <c r="G216" i="48" s="1"/>
  <c r="G183" i="49"/>
  <c r="G195" i="49" s="1"/>
  <c r="O73" i="49"/>
  <c r="G86" i="49" s="1"/>
  <c r="G207" i="49" s="1"/>
  <c r="G219" i="49" s="1"/>
  <c r="G177" i="48"/>
  <c r="G189" i="48" s="1"/>
  <c r="O67" i="48"/>
  <c r="G80" i="48" s="1"/>
  <c r="G201" i="48" s="1"/>
  <c r="G213" i="48" s="1"/>
  <c r="F220" i="49"/>
  <c r="O66" i="50"/>
  <c r="G79" i="50" s="1"/>
  <c r="G200" i="50" s="1"/>
  <c r="G212" i="50" s="1"/>
  <c r="G176" i="50"/>
  <c r="G188" i="50" s="1"/>
  <c r="O70" i="50"/>
  <c r="G83" i="50" s="1"/>
  <c r="G204" i="50" s="1"/>
  <c r="G216" i="50" s="1"/>
  <c r="G180" i="50"/>
  <c r="G192" i="50" s="1"/>
  <c r="P65" i="50"/>
  <c r="H78" i="50" s="1"/>
  <c r="H199" i="50" s="1"/>
  <c r="H175" i="50"/>
  <c r="H187" i="50" s="1"/>
  <c r="H178" i="48"/>
  <c r="H190" i="48" s="1"/>
  <c r="P68" i="48"/>
  <c r="H81" i="48" s="1"/>
  <c r="H202" i="48" s="1"/>
  <c r="H214" i="48" s="1"/>
  <c r="H180" i="49"/>
  <c r="H192" i="49" s="1"/>
  <c r="P70" i="49"/>
  <c r="H83" i="49" s="1"/>
  <c r="H204" i="49" s="1"/>
  <c r="H216" i="49" s="1"/>
  <c r="O70" i="47"/>
  <c r="G83" i="47" s="1"/>
  <c r="G180" i="47"/>
  <c r="G192" i="47" s="1"/>
  <c r="P65" i="47"/>
  <c r="H78" i="47" s="1"/>
  <c r="H199" i="47" s="1"/>
  <c r="H211" i="47" s="1"/>
  <c r="H175" i="47"/>
  <c r="H187" i="47" s="1"/>
  <c r="H116" i="31"/>
  <c r="F244" i="44"/>
  <c r="F252" i="44" s="1"/>
  <c r="P69" i="50"/>
  <c r="H82" i="50" s="1"/>
  <c r="H203" i="50" s="1"/>
  <c r="H215" i="50" s="1"/>
  <c r="H179" i="50"/>
  <c r="H191" i="50" s="1"/>
  <c r="H179" i="49"/>
  <c r="H191" i="49" s="1"/>
  <c r="P69" i="49"/>
  <c r="H82" i="49" s="1"/>
  <c r="H203" i="49" s="1"/>
  <c r="H215" i="49" s="1"/>
  <c r="H178" i="49"/>
  <c r="H190" i="49" s="1"/>
  <c r="P68" i="49"/>
  <c r="H81" i="49" s="1"/>
  <c r="H202" i="49" s="1"/>
  <c r="H214" i="49" s="1"/>
  <c r="O68" i="47"/>
  <c r="G81" i="47" s="1"/>
  <c r="G178" i="47"/>
  <c r="G190" i="47" s="1"/>
  <c r="G112" i="50"/>
  <c r="G180" i="49"/>
  <c r="G192" i="49" s="1"/>
  <c r="O70" i="49"/>
  <c r="G83" i="49" s="1"/>
  <c r="G204" i="49" s="1"/>
  <c r="G216" i="49" s="1"/>
  <c r="O69" i="47"/>
  <c r="G82" i="47" s="1"/>
  <c r="G179" i="47"/>
  <c r="G191" i="47" s="1"/>
  <c r="G177" i="49"/>
  <c r="G189" i="49" s="1"/>
  <c r="O67" i="49"/>
  <c r="G80" i="49" s="1"/>
  <c r="G201" i="49" s="1"/>
  <c r="G213" i="49" s="1"/>
  <c r="H177" i="48"/>
  <c r="H189" i="48" s="1"/>
  <c r="P67" i="48"/>
  <c r="H80" i="48" s="1"/>
  <c r="H201" i="48" s="1"/>
  <c r="H213" i="48" s="1"/>
  <c r="H181" i="49"/>
  <c r="H193" i="49" s="1"/>
  <c r="P71" i="49"/>
  <c r="H84" i="49" s="1"/>
  <c r="H205" i="49" s="1"/>
  <c r="H217" i="49" s="1"/>
  <c r="H177" i="49"/>
  <c r="H189" i="49" s="1"/>
  <c r="P67" i="49"/>
  <c r="H80" i="49" s="1"/>
  <c r="H201" i="49" s="1"/>
  <c r="H213" i="49" s="1"/>
  <c r="H175" i="49"/>
  <c r="P65" i="49"/>
  <c r="H78" i="49" s="1"/>
  <c r="H199" i="49" s="1"/>
  <c r="P68" i="47"/>
  <c r="H81" i="47" s="1"/>
  <c r="H178" i="47"/>
  <c r="H190" i="47" s="1"/>
  <c r="P69" i="47"/>
  <c r="H82" i="47" s="1"/>
  <c r="H179" i="47"/>
  <c r="H191" i="47" s="1"/>
  <c r="P71" i="47"/>
  <c r="H84" i="47" s="1"/>
  <c r="H181" i="47"/>
  <c r="H193" i="47" s="1"/>
  <c r="G183" i="48"/>
  <c r="G195" i="48" s="1"/>
  <c r="O73" i="48"/>
  <c r="G86" i="48" s="1"/>
  <c r="G207" i="48" s="1"/>
  <c r="G219" i="48" s="1"/>
  <c r="E211" i="50"/>
  <c r="E220" i="50" s="1"/>
  <c r="E208" i="50"/>
  <c r="F208" i="50"/>
  <c r="H183" i="48"/>
  <c r="H195" i="48" s="1"/>
  <c r="P73" i="48"/>
  <c r="H86" i="48" s="1"/>
  <c r="H207" i="48" s="1"/>
  <c r="H219" i="48" s="1"/>
  <c r="N159" i="44"/>
  <c r="E159" i="44"/>
  <c r="E228" i="44" s="1"/>
  <c r="E236" i="44" s="1"/>
  <c r="E212" i="44"/>
  <c r="E220" i="44" s="1"/>
  <c r="M159" i="44"/>
  <c r="AN151" i="44"/>
  <c r="AN159" i="44" s="1"/>
  <c r="AF151" i="44"/>
  <c r="AF159" i="44" s="1"/>
  <c r="X151" i="44"/>
  <c r="X159" i="44" s="1"/>
  <c r="P151" i="44"/>
  <c r="O151" i="44"/>
  <c r="AM151" i="44"/>
  <c r="AM159" i="44" s="1"/>
  <c r="AE151" i="44"/>
  <c r="AE159" i="44" s="1"/>
  <c r="W151" i="44"/>
  <c r="W159" i="44" s="1"/>
  <c r="H264" i="31"/>
  <c r="F264" i="31"/>
  <c r="F268" i="45"/>
  <c r="F276" i="45" s="1"/>
  <c r="F264" i="45"/>
  <c r="P117" i="45"/>
  <c r="H130" i="45" s="1"/>
  <c r="H263" i="45" s="1"/>
  <c r="H275" i="45" s="1"/>
  <c r="H239" i="45"/>
  <c r="H251" i="45" s="1"/>
  <c r="E195" i="45"/>
  <c r="E204" i="45" s="1"/>
  <c r="P113" i="45"/>
  <c r="H126" i="45" s="1"/>
  <c r="H259" i="45" s="1"/>
  <c r="H271" i="45" s="1"/>
  <c r="H235" i="45"/>
  <c r="H247" i="45" s="1"/>
  <c r="O111" i="45"/>
  <c r="G124" i="45" s="1"/>
  <c r="G257" i="45" s="1"/>
  <c r="G269" i="45" s="1"/>
  <c r="G233" i="45"/>
  <c r="G245" i="45" s="1"/>
  <c r="F240" i="45"/>
  <c r="F244" i="45"/>
  <c r="F252" i="45" s="1"/>
  <c r="E267" i="45"/>
  <c r="E276" i="45" s="1"/>
  <c r="E264" i="45"/>
  <c r="E243" i="45"/>
  <c r="E252" i="45" s="1"/>
  <c r="E240" i="45"/>
  <c r="P109" i="45"/>
  <c r="H122" i="45" s="1"/>
  <c r="H255" i="45" s="1"/>
  <c r="H231" i="45"/>
  <c r="O117" i="45"/>
  <c r="G130" i="45" s="1"/>
  <c r="G263" i="45" s="1"/>
  <c r="G275" i="45" s="1"/>
  <c r="G239" i="45"/>
  <c r="G251" i="45" s="1"/>
  <c r="P114" i="45"/>
  <c r="H127" i="45" s="1"/>
  <c r="H260" i="45" s="1"/>
  <c r="H272" i="45" s="1"/>
  <c r="H236" i="45"/>
  <c r="H248" i="45" s="1"/>
  <c r="P112" i="45"/>
  <c r="H125" i="45" s="1"/>
  <c r="H258" i="45" s="1"/>
  <c r="H270" i="45" s="1"/>
  <c r="H234" i="45"/>
  <c r="H246" i="45" s="1"/>
  <c r="P111" i="45"/>
  <c r="H124" i="45" s="1"/>
  <c r="H257" i="45" s="1"/>
  <c r="H269" i="45" s="1"/>
  <c r="H233" i="45"/>
  <c r="H245" i="45" s="1"/>
  <c r="O112" i="45"/>
  <c r="G125" i="45" s="1"/>
  <c r="G258" i="45" s="1"/>
  <c r="G270" i="45" s="1"/>
  <c r="G234" i="45"/>
  <c r="G246" i="45" s="1"/>
  <c r="O113" i="45"/>
  <c r="G126" i="45" s="1"/>
  <c r="G259" i="45" s="1"/>
  <c r="G271" i="45" s="1"/>
  <c r="G235" i="45"/>
  <c r="G247" i="45" s="1"/>
  <c r="O110" i="45"/>
  <c r="G123" i="45" s="1"/>
  <c r="G256" i="45" s="1"/>
  <c r="G268" i="45" s="1"/>
  <c r="G232" i="45"/>
  <c r="G244" i="45" s="1"/>
  <c r="P110" i="45"/>
  <c r="H123" i="45" s="1"/>
  <c r="H256" i="45" s="1"/>
  <c r="H268" i="45" s="1"/>
  <c r="H232" i="45"/>
  <c r="H244" i="45" s="1"/>
  <c r="O114" i="45"/>
  <c r="G127" i="45" s="1"/>
  <c r="G260" i="45" s="1"/>
  <c r="G272" i="45" s="1"/>
  <c r="G236" i="45"/>
  <c r="G248" i="45" s="1"/>
  <c r="O109" i="45"/>
  <c r="G122" i="45" s="1"/>
  <c r="G255" i="45" s="1"/>
  <c r="G231" i="45"/>
  <c r="O115" i="45"/>
  <c r="G128" i="45" s="1"/>
  <c r="G261" i="45" s="1"/>
  <c r="G273" i="45" s="1"/>
  <c r="G237" i="45"/>
  <c r="G249" i="45" s="1"/>
  <c r="P115" i="45"/>
  <c r="H128" i="45" s="1"/>
  <c r="H261" i="45" s="1"/>
  <c r="H273" i="45" s="1"/>
  <c r="H237" i="45"/>
  <c r="H249" i="45" s="1"/>
  <c r="P96" i="43"/>
  <c r="J44" i="40" s="1"/>
  <c r="K80" i="43"/>
  <c r="K42" i="40" s="1"/>
  <c r="K82" i="43"/>
  <c r="K44" i="40" s="1"/>
  <c r="K16" i="43"/>
  <c r="I44" i="40" s="1"/>
  <c r="K14" i="43"/>
  <c r="I42" i="40" s="1"/>
  <c r="M99" i="43"/>
  <c r="F92" i="45"/>
  <c r="K92" i="45" s="1"/>
  <c r="F176" i="45"/>
  <c r="F180" i="45" s="1"/>
  <c r="E92" i="45"/>
  <c r="J92" i="45" s="1"/>
  <c r="E176" i="45"/>
  <c r="E180" i="45" s="1"/>
  <c r="J228" i="31"/>
  <c r="Q22" i="40" s="1"/>
  <c r="F156" i="45"/>
  <c r="H168" i="45"/>
  <c r="G168" i="45"/>
  <c r="F124" i="50"/>
  <c r="E154" i="50"/>
  <c r="E166" i="50" s="1"/>
  <c r="F148" i="50"/>
  <c r="E153" i="50"/>
  <c r="E165" i="50" s="1"/>
  <c r="E152" i="50"/>
  <c r="E164" i="50" s="1"/>
  <c r="F154" i="50"/>
  <c r="F166" i="50" s="1"/>
  <c r="F153" i="50"/>
  <c r="E148" i="50"/>
  <c r="E124" i="50"/>
  <c r="G43" i="50"/>
  <c r="G115" i="50" s="1"/>
  <c r="H46" i="50"/>
  <c r="H118" i="50" s="1"/>
  <c r="H47" i="50"/>
  <c r="H119" i="50" s="1"/>
  <c r="H43" i="50"/>
  <c r="H115" i="50" s="1"/>
  <c r="G45" i="50"/>
  <c r="G117" i="50" s="1"/>
  <c r="G48" i="50"/>
  <c r="G120" i="50" s="1"/>
  <c r="H48" i="50"/>
  <c r="H120" i="50" s="1"/>
  <c r="G46" i="50"/>
  <c r="G118" i="50" s="1"/>
  <c r="H44" i="50"/>
  <c r="H116" i="50" s="1"/>
  <c r="G44" i="50"/>
  <c r="G116" i="50" s="1"/>
  <c r="H49" i="50"/>
  <c r="H121" i="50" s="1"/>
  <c r="H51" i="50"/>
  <c r="H123" i="50" s="1"/>
  <c r="G47" i="50"/>
  <c r="G119" i="50" s="1"/>
  <c r="H45" i="50"/>
  <c r="H117" i="50" s="1"/>
  <c r="G49" i="50"/>
  <c r="G121" i="50" s="1"/>
  <c r="G51" i="50"/>
  <c r="G123" i="50" s="1"/>
  <c r="F148" i="49"/>
  <c r="E148" i="49"/>
  <c r="F124" i="49"/>
  <c r="E124" i="49"/>
  <c r="G48" i="49"/>
  <c r="G120" i="49" s="1"/>
  <c r="G51" i="49"/>
  <c r="G123" i="49" s="1"/>
  <c r="H45" i="49"/>
  <c r="H117" i="49" s="1"/>
  <c r="G49" i="49"/>
  <c r="G121" i="49" s="1"/>
  <c r="G47" i="49"/>
  <c r="G119" i="49" s="1"/>
  <c r="H46" i="49"/>
  <c r="H118" i="49" s="1"/>
  <c r="G43" i="49"/>
  <c r="G115" i="49" s="1"/>
  <c r="G46" i="49"/>
  <c r="G118" i="49" s="1"/>
  <c r="H47" i="49"/>
  <c r="H119" i="49" s="1"/>
  <c r="H48" i="49"/>
  <c r="H120" i="49" s="1"/>
  <c r="G44" i="49"/>
  <c r="G116" i="49" s="1"/>
  <c r="H51" i="49"/>
  <c r="H123" i="49" s="1"/>
  <c r="H49" i="49"/>
  <c r="H121" i="49" s="1"/>
  <c r="H43" i="49"/>
  <c r="H115" i="49" s="1"/>
  <c r="G45" i="49"/>
  <c r="G117" i="49" s="1"/>
  <c r="H44" i="49"/>
  <c r="H116" i="49" s="1"/>
  <c r="H284" i="31"/>
  <c r="H288" i="31" s="1"/>
  <c r="F240" i="31"/>
  <c r="H276" i="31"/>
  <c r="F276" i="31"/>
  <c r="F89" i="45"/>
  <c r="K89" i="45" s="1"/>
  <c r="H180" i="31"/>
  <c r="F180" i="31"/>
  <c r="F148" i="48"/>
  <c r="F172" i="48"/>
  <c r="E148" i="48"/>
  <c r="E172" i="48"/>
  <c r="L123" i="48"/>
  <c r="F172" i="47"/>
  <c r="F140" i="47"/>
  <c r="F148" i="47" s="1"/>
  <c r="E139" i="47"/>
  <c r="E148" i="47" s="1"/>
  <c r="G112" i="47"/>
  <c r="J112" i="47" s="1"/>
  <c r="P29" i="40" s="1"/>
  <c r="F302" i="33"/>
  <c r="J233" i="30"/>
  <c r="E302" i="33"/>
  <c r="J252" i="31"/>
  <c r="N22" i="40" s="1"/>
  <c r="G48" i="47"/>
  <c r="G120" i="47" s="1"/>
  <c r="H49" i="47"/>
  <c r="H121" i="47" s="1"/>
  <c r="G51" i="47"/>
  <c r="G123" i="47" s="1"/>
  <c r="G47" i="47"/>
  <c r="G119" i="47" s="1"/>
  <c r="G44" i="47"/>
  <c r="G116" i="47" s="1"/>
  <c r="H45" i="47"/>
  <c r="H117" i="47" s="1"/>
  <c r="H48" i="47"/>
  <c r="H120" i="47" s="1"/>
  <c r="H44" i="47"/>
  <c r="H116" i="47" s="1"/>
  <c r="G45" i="47"/>
  <c r="G117" i="47" s="1"/>
  <c r="G46" i="47"/>
  <c r="G118" i="47" s="1"/>
  <c r="H47" i="47"/>
  <c r="H119" i="47" s="1"/>
  <c r="G43" i="47"/>
  <c r="G115" i="47" s="1"/>
  <c r="H46" i="47"/>
  <c r="H118" i="47" s="1"/>
  <c r="H43" i="47"/>
  <c r="H115" i="47" s="1"/>
  <c r="H51" i="47"/>
  <c r="H123" i="47" s="1"/>
  <c r="G49" i="47"/>
  <c r="G121" i="47" s="1"/>
  <c r="J245" i="30"/>
  <c r="N24" i="40" s="1"/>
  <c r="E151" i="47"/>
  <c r="E163" i="47" s="1"/>
  <c r="G278" i="33"/>
  <c r="E242" i="33"/>
  <c r="F242" i="33"/>
  <c r="H278" i="33"/>
  <c r="H218" i="33"/>
  <c r="H223" i="33"/>
  <c r="H230" i="33" s="1"/>
  <c r="F254" i="33"/>
  <c r="G218" i="33"/>
  <c r="G221" i="33"/>
  <c r="G230" i="33" s="1"/>
  <c r="E254" i="33"/>
  <c r="G194" i="33"/>
  <c r="H194" i="33"/>
  <c r="G113" i="33"/>
  <c r="L113" i="33" s="1"/>
  <c r="J17" i="44"/>
  <c r="G121" i="33"/>
  <c r="L121" i="33" s="1"/>
  <c r="J293" i="30"/>
  <c r="O24" i="40" s="1"/>
  <c r="G114" i="33"/>
  <c r="L114" i="33" s="1"/>
  <c r="G118" i="33"/>
  <c r="L118" i="33" s="1"/>
  <c r="H115" i="33"/>
  <c r="M115" i="33" s="1"/>
  <c r="H114" i="33"/>
  <c r="M114" i="33" s="1"/>
  <c r="G117" i="33"/>
  <c r="L117" i="33" s="1"/>
  <c r="E136" i="48"/>
  <c r="E160" i="48"/>
  <c r="H113" i="33"/>
  <c r="M113" i="33" s="1"/>
  <c r="H117" i="33"/>
  <c r="M117" i="33" s="1"/>
  <c r="E91" i="45"/>
  <c r="J91" i="45" s="1"/>
  <c r="G116" i="33"/>
  <c r="L116" i="33" s="1"/>
  <c r="G115" i="33"/>
  <c r="L115" i="33" s="1"/>
  <c r="F136" i="48"/>
  <c r="E290" i="33"/>
  <c r="F136" i="50"/>
  <c r="F290" i="33"/>
  <c r="F136" i="47"/>
  <c r="F160" i="47"/>
  <c r="F192" i="45"/>
  <c r="E192" i="45"/>
  <c r="F95" i="45"/>
  <c r="K95" i="45" s="1"/>
  <c r="J58" i="45"/>
  <c r="E95" i="45"/>
  <c r="J95" i="45" s="1"/>
  <c r="F88" i="45"/>
  <c r="K88" i="45" s="1"/>
  <c r="K58" i="45"/>
  <c r="F212" i="45"/>
  <c r="F224" i="45" s="1"/>
  <c r="E211" i="45"/>
  <c r="E223" i="45" s="1"/>
  <c r="E212" i="45"/>
  <c r="E224" i="45" s="1"/>
  <c r="F211" i="45"/>
  <c r="F223" i="45" s="1"/>
  <c r="E136" i="50"/>
  <c r="F157" i="50"/>
  <c r="F169" i="50" s="1"/>
  <c r="J40" i="50"/>
  <c r="K40" i="50"/>
  <c r="K28" i="40" s="1"/>
  <c r="E155" i="50"/>
  <c r="E167" i="50" s="1"/>
  <c r="F156" i="50"/>
  <c r="F168" i="50" s="1"/>
  <c r="F159" i="50"/>
  <c r="F171" i="50" s="1"/>
  <c r="E157" i="50"/>
  <c r="E169" i="50" s="1"/>
  <c r="F155" i="50"/>
  <c r="F167" i="50" s="1"/>
  <c r="F136" i="49"/>
  <c r="E136" i="49"/>
  <c r="J40" i="49"/>
  <c r="K40" i="49"/>
  <c r="K27" i="40" s="1"/>
  <c r="F160" i="48"/>
  <c r="J40" i="48"/>
  <c r="K40" i="48"/>
  <c r="K30" i="40" s="1"/>
  <c r="E136" i="47"/>
  <c r="J40" i="47"/>
  <c r="F204" i="47"/>
  <c r="F216" i="47" s="1"/>
  <c r="K40" i="47"/>
  <c r="K29" i="40" s="1"/>
  <c r="E202" i="47"/>
  <c r="E214" i="47" s="1"/>
  <c r="F203" i="47"/>
  <c r="F215" i="47" s="1"/>
  <c r="G266" i="33"/>
  <c r="H266" i="33"/>
  <c r="G289" i="33"/>
  <c r="G301" i="33" s="1"/>
  <c r="H289" i="33"/>
  <c r="H301" i="33" s="1"/>
  <c r="H285" i="33"/>
  <c r="H297" i="33" s="1"/>
  <c r="G284" i="33"/>
  <c r="G296" i="33" s="1"/>
  <c r="G287" i="33"/>
  <c r="G299" i="33" s="1"/>
  <c r="G285" i="33"/>
  <c r="G297" i="33" s="1"/>
  <c r="H284" i="33"/>
  <c r="H296" i="33" s="1"/>
  <c r="H287" i="33"/>
  <c r="H299" i="33" s="1"/>
  <c r="G286" i="33"/>
  <c r="G298" i="33" s="1"/>
  <c r="H286" i="33"/>
  <c r="H298" i="33" s="1"/>
  <c r="F288" i="31"/>
  <c r="J281" i="30"/>
  <c r="H80" i="47"/>
  <c r="H201" i="47" s="1"/>
  <c r="H213" i="47" s="1"/>
  <c r="E205" i="47"/>
  <c r="E217" i="47" s="1"/>
  <c r="H79" i="47"/>
  <c r="F207" i="47"/>
  <c r="F219" i="47" s="1"/>
  <c r="F202" i="47"/>
  <c r="F214" i="47" s="1"/>
  <c r="F201" i="47"/>
  <c r="F213" i="47" s="1"/>
  <c r="E204" i="47"/>
  <c r="E216" i="47" s="1"/>
  <c r="E200" i="47"/>
  <c r="E212" i="47" s="1"/>
  <c r="E203" i="47"/>
  <c r="E215" i="47" s="1"/>
  <c r="F200" i="47"/>
  <c r="F212" i="47" s="1"/>
  <c r="F205" i="47"/>
  <c r="F217" i="47" s="1"/>
  <c r="E207" i="47"/>
  <c r="E219" i="47" s="1"/>
  <c r="E199" i="47"/>
  <c r="E211" i="47" s="1"/>
  <c r="E93" i="45"/>
  <c r="J93" i="45" s="1"/>
  <c r="E87" i="45"/>
  <c r="J87" i="45" s="1"/>
  <c r="G70" i="48"/>
  <c r="G156" i="48" s="1"/>
  <c r="G168" i="48" s="1"/>
  <c r="G132" i="48"/>
  <c r="G144" i="48" s="1"/>
  <c r="H71" i="48"/>
  <c r="H157" i="48" s="1"/>
  <c r="H169" i="48" s="1"/>
  <c r="H133" i="48"/>
  <c r="H145" i="48" s="1"/>
  <c r="G64" i="45"/>
  <c r="G174" i="45" s="1"/>
  <c r="G79" i="45"/>
  <c r="L79" i="45" s="1"/>
  <c r="H128" i="49"/>
  <c r="H140" i="49" s="1"/>
  <c r="H66" i="49"/>
  <c r="H152" i="49" s="1"/>
  <c r="H164" i="49" s="1"/>
  <c r="H128" i="47"/>
  <c r="H140" i="47" s="1"/>
  <c r="H66" i="47"/>
  <c r="H152" i="47" s="1"/>
  <c r="H164" i="47" s="1"/>
  <c r="H71" i="47"/>
  <c r="H157" i="47" s="1"/>
  <c r="H169" i="47" s="1"/>
  <c r="H133" i="47"/>
  <c r="H145" i="47" s="1"/>
  <c r="G67" i="45"/>
  <c r="G177" i="45" s="1"/>
  <c r="G82" i="45"/>
  <c r="L82" i="45" s="1"/>
  <c r="H66" i="50"/>
  <c r="H128" i="50"/>
  <c r="H140" i="50" s="1"/>
  <c r="G68" i="47"/>
  <c r="G154" i="47" s="1"/>
  <c r="G166" i="47" s="1"/>
  <c r="G130" i="47"/>
  <c r="G142" i="47" s="1"/>
  <c r="G65" i="45"/>
  <c r="G175" i="45" s="1"/>
  <c r="G80" i="45"/>
  <c r="L80" i="45" s="1"/>
  <c r="G111" i="45"/>
  <c r="G209" i="45" s="1"/>
  <c r="G221" i="45" s="1"/>
  <c r="G185" i="45"/>
  <c r="G197" i="45" s="1"/>
  <c r="H73" i="48"/>
  <c r="H159" i="48" s="1"/>
  <c r="H171" i="48" s="1"/>
  <c r="H135" i="48"/>
  <c r="H147" i="48" s="1"/>
  <c r="G65" i="47"/>
  <c r="G127" i="47"/>
  <c r="G139" i="47" s="1"/>
  <c r="H129" i="48"/>
  <c r="H141" i="48" s="1"/>
  <c r="H67" i="48"/>
  <c r="H153" i="48" s="1"/>
  <c r="H165" i="48" s="1"/>
  <c r="H65" i="45"/>
  <c r="H175" i="45" s="1"/>
  <c r="H80" i="45"/>
  <c r="M80" i="45" s="1"/>
  <c r="G81" i="45"/>
  <c r="L81" i="45" s="1"/>
  <c r="G66" i="45"/>
  <c r="G176" i="45" s="1"/>
  <c r="H132" i="48"/>
  <c r="H144" i="48" s="1"/>
  <c r="H70" i="48"/>
  <c r="H156" i="48" s="1"/>
  <c r="H168" i="48" s="1"/>
  <c r="G67" i="50"/>
  <c r="G129" i="50"/>
  <c r="G141" i="50" s="1"/>
  <c r="H183" i="45"/>
  <c r="H109" i="45"/>
  <c r="H207" i="45" s="1"/>
  <c r="H219" i="45" s="1"/>
  <c r="H130" i="48"/>
  <c r="H142" i="48" s="1"/>
  <c r="H68" i="48"/>
  <c r="H154" i="48" s="1"/>
  <c r="H166" i="48" s="1"/>
  <c r="H131" i="49"/>
  <c r="H143" i="49" s="1"/>
  <c r="H69" i="49"/>
  <c r="H155" i="49" s="1"/>
  <c r="H167" i="49" s="1"/>
  <c r="G135" i="48"/>
  <c r="G147" i="48" s="1"/>
  <c r="G73" i="48"/>
  <c r="G159" i="48" s="1"/>
  <c r="G171" i="48" s="1"/>
  <c r="G131" i="48"/>
  <c r="G143" i="48" s="1"/>
  <c r="G69" i="48"/>
  <c r="G155" i="48" s="1"/>
  <c r="G167" i="48" s="1"/>
  <c r="G84" i="45"/>
  <c r="L84" i="45" s="1"/>
  <c r="G69" i="45"/>
  <c r="G179" i="45" s="1"/>
  <c r="G71" i="47"/>
  <c r="G157" i="47" s="1"/>
  <c r="G169" i="47" s="1"/>
  <c r="G133" i="47"/>
  <c r="G145" i="47" s="1"/>
  <c r="H135" i="49"/>
  <c r="H147" i="49" s="1"/>
  <c r="H73" i="49"/>
  <c r="H159" i="49" s="1"/>
  <c r="H171" i="49" s="1"/>
  <c r="G129" i="48"/>
  <c r="G141" i="48" s="1"/>
  <c r="G67" i="48"/>
  <c r="G153" i="48" s="1"/>
  <c r="G165" i="48" s="1"/>
  <c r="G127" i="48"/>
  <c r="G139" i="48" s="1"/>
  <c r="G65" i="48"/>
  <c r="G151" i="48" s="1"/>
  <c r="H129" i="49"/>
  <c r="H141" i="49" s="1"/>
  <c r="H67" i="49"/>
  <c r="H153" i="49" s="1"/>
  <c r="H165" i="49" s="1"/>
  <c r="G115" i="45"/>
  <c r="G189" i="45"/>
  <c r="G201" i="45" s="1"/>
  <c r="G69" i="50"/>
  <c r="G131" i="50"/>
  <c r="G143" i="50" s="1"/>
  <c r="G187" i="45"/>
  <c r="G199" i="45" s="1"/>
  <c r="G113" i="45"/>
  <c r="G78" i="45"/>
  <c r="L78" i="45" s="1"/>
  <c r="G63" i="45"/>
  <c r="G173" i="45" s="1"/>
  <c r="G73" i="47"/>
  <c r="G159" i="47" s="1"/>
  <c r="G171" i="47" s="1"/>
  <c r="G135" i="47"/>
  <c r="G147" i="47" s="1"/>
  <c r="G133" i="49"/>
  <c r="G145" i="49" s="1"/>
  <c r="G71" i="49"/>
  <c r="G157" i="49" s="1"/>
  <c r="G169" i="49" s="1"/>
  <c r="G131" i="49"/>
  <c r="G143" i="49" s="1"/>
  <c r="G69" i="49"/>
  <c r="G155" i="49" s="1"/>
  <c r="G167" i="49" s="1"/>
  <c r="G69" i="47"/>
  <c r="G155" i="47" s="1"/>
  <c r="G167" i="47" s="1"/>
  <c r="G131" i="47"/>
  <c r="G143" i="47" s="1"/>
  <c r="H69" i="47"/>
  <c r="H155" i="47" s="1"/>
  <c r="H167" i="47" s="1"/>
  <c r="H131" i="47"/>
  <c r="H143" i="47" s="1"/>
  <c r="H71" i="49"/>
  <c r="H157" i="49" s="1"/>
  <c r="H169" i="49" s="1"/>
  <c r="H133" i="49"/>
  <c r="H145" i="49" s="1"/>
  <c r="G66" i="47"/>
  <c r="G152" i="47" s="1"/>
  <c r="G164" i="47" s="1"/>
  <c r="G128" i="47"/>
  <c r="G140" i="47" s="1"/>
  <c r="H127" i="50"/>
  <c r="H139" i="50" s="1"/>
  <c r="H65" i="50"/>
  <c r="G130" i="49"/>
  <c r="G142" i="49" s="1"/>
  <c r="G68" i="49"/>
  <c r="G154" i="49" s="1"/>
  <c r="G166" i="49" s="1"/>
  <c r="H66" i="45"/>
  <c r="H176" i="45" s="1"/>
  <c r="H81" i="45"/>
  <c r="M81" i="45" s="1"/>
  <c r="H115" i="45"/>
  <c r="H189" i="45"/>
  <c r="H201" i="45" s="1"/>
  <c r="H69" i="48"/>
  <c r="H155" i="48" s="1"/>
  <c r="H167" i="48" s="1"/>
  <c r="H131" i="48"/>
  <c r="H143" i="48" s="1"/>
  <c r="H135" i="47"/>
  <c r="H147" i="47" s="1"/>
  <c r="H73" i="47"/>
  <c r="H159" i="47" s="1"/>
  <c r="H171" i="47" s="1"/>
  <c r="H63" i="45"/>
  <c r="H173" i="45" s="1"/>
  <c r="H78" i="45"/>
  <c r="M78" i="45" s="1"/>
  <c r="G68" i="48"/>
  <c r="G154" i="48" s="1"/>
  <c r="G166" i="48" s="1"/>
  <c r="G130" i="48"/>
  <c r="G142" i="48" s="1"/>
  <c r="G76" i="45"/>
  <c r="L76" i="45" s="1"/>
  <c r="G61" i="45"/>
  <c r="G171" i="45" s="1"/>
  <c r="G127" i="49"/>
  <c r="G139" i="49" s="1"/>
  <c r="G65" i="49"/>
  <c r="G151" i="49" s="1"/>
  <c r="G163" i="49" s="1"/>
  <c r="H127" i="48"/>
  <c r="H139" i="48" s="1"/>
  <c r="H65" i="48"/>
  <c r="H151" i="48" s="1"/>
  <c r="G67" i="47"/>
  <c r="G153" i="47" s="1"/>
  <c r="G165" i="47" s="1"/>
  <c r="G129" i="47"/>
  <c r="G141" i="47" s="1"/>
  <c r="H188" i="45"/>
  <c r="H200" i="45" s="1"/>
  <c r="H114" i="45"/>
  <c r="G184" i="45"/>
  <c r="G196" i="45" s="1"/>
  <c r="G110" i="45"/>
  <c r="G208" i="45" s="1"/>
  <c r="G220" i="45" s="1"/>
  <c r="G130" i="50"/>
  <c r="G142" i="50" s="1"/>
  <c r="G68" i="50"/>
  <c r="G127" i="50"/>
  <c r="G139" i="50" s="1"/>
  <c r="G65" i="50"/>
  <c r="G70" i="47"/>
  <c r="G156" i="47" s="1"/>
  <c r="G168" i="47" s="1"/>
  <c r="G132" i="47"/>
  <c r="G144" i="47" s="1"/>
  <c r="H127" i="47"/>
  <c r="H139" i="47" s="1"/>
  <c r="H65" i="47"/>
  <c r="H66" i="48"/>
  <c r="H152" i="48" s="1"/>
  <c r="H164" i="48" s="1"/>
  <c r="H128" i="48"/>
  <c r="H140" i="48" s="1"/>
  <c r="G135" i="49"/>
  <c r="G147" i="49" s="1"/>
  <c r="G73" i="49"/>
  <c r="G159" i="49" s="1"/>
  <c r="G171" i="49" s="1"/>
  <c r="H131" i="50"/>
  <c r="H143" i="50" s="1"/>
  <c r="H69" i="50"/>
  <c r="G114" i="45"/>
  <c r="G188" i="45"/>
  <c r="G200" i="45" s="1"/>
  <c r="G66" i="49"/>
  <c r="G152" i="49" s="1"/>
  <c r="G164" i="49" s="1"/>
  <c r="G128" i="49"/>
  <c r="G140" i="49" s="1"/>
  <c r="H111" i="45"/>
  <c r="H209" i="45" s="1"/>
  <c r="H221" i="45" s="1"/>
  <c r="H185" i="45"/>
  <c r="H197" i="45" s="1"/>
  <c r="G73" i="50"/>
  <c r="G135" i="50"/>
  <c r="G147" i="50" s="1"/>
  <c r="H67" i="50"/>
  <c r="H129" i="50"/>
  <c r="H141" i="50" s="1"/>
  <c r="G71" i="50"/>
  <c r="G133" i="50"/>
  <c r="G145" i="50" s="1"/>
  <c r="G109" i="45"/>
  <c r="G207" i="45" s="1"/>
  <c r="G219" i="45" s="1"/>
  <c r="G183" i="45"/>
  <c r="H69" i="45"/>
  <c r="H179" i="45" s="1"/>
  <c r="H84" i="45"/>
  <c r="M84" i="45" s="1"/>
  <c r="H110" i="45"/>
  <c r="H208" i="45" s="1"/>
  <c r="H220" i="45" s="1"/>
  <c r="H184" i="45"/>
  <c r="H196" i="45" s="1"/>
  <c r="H135" i="50"/>
  <c r="H147" i="50" s="1"/>
  <c r="H73" i="50"/>
  <c r="H186" i="45"/>
  <c r="H198" i="45" s="1"/>
  <c r="H112" i="45"/>
  <c r="H210" i="45" s="1"/>
  <c r="H222" i="45" s="1"/>
  <c r="G186" i="45"/>
  <c r="G198" i="45" s="1"/>
  <c r="G112" i="45"/>
  <c r="G210" i="45" s="1"/>
  <c r="G222" i="45" s="1"/>
  <c r="H64" i="45"/>
  <c r="H174" i="45" s="1"/>
  <c r="H79" i="45"/>
  <c r="M79" i="45" s="1"/>
  <c r="G129" i="49"/>
  <c r="G141" i="49" s="1"/>
  <c r="G67" i="49"/>
  <c r="G153" i="49" s="1"/>
  <c r="G165" i="49" s="1"/>
  <c r="G77" i="45"/>
  <c r="L77" i="45" s="1"/>
  <c r="G62" i="45"/>
  <c r="G172" i="45" s="1"/>
  <c r="H67" i="45"/>
  <c r="H177" i="45" s="1"/>
  <c r="H82" i="45"/>
  <c r="M82" i="45" s="1"/>
  <c r="G70" i="50"/>
  <c r="G132" i="50"/>
  <c r="G144" i="50" s="1"/>
  <c r="G117" i="45"/>
  <c r="G191" i="45"/>
  <c r="G203" i="45" s="1"/>
  <c r="G128" i="50"/>
  <c r="G140" i="50" s="1"/>
  <c r="G66" i="50"/>
  <c r="H70" i="50"/>
  <c r="H132" i="50"/>
  <c r="H144" i="50" s="1"/>
  <c r="H133" i="50"/>
  <c r="H145" i="50" s="1"/>
  <c r="H71" i="50"/>
  <c r="G132" i="49"/>
  <c r="G144" i="49" s="1"/>
  <c r="G70" i="49"/>
  <c r="G156" i="49" s="1"/>
  <c r="G168" i="49" s="1"/>
  <c r="H130" i="50"/>
  <c r="H142" i="50" s="1"/>
  <c r="H68" i="50"/>
  <c r="G71" i="48"/>
  <c r="G157" i="48" s="1"/>
  <c r="G169" i="48" s="1"/>
  <c r="G133" i="48"/>
  <c r="G145" i="48" s="1"/>
  <c r="H113" i="45"/>
  <c r="H187" i="45"/>
  <c r="H199" i="45" s="1"/>
  <c r="G128" i="48"/>
  <c r="G140" i="48" s="1"/>
  <c r="G66" i="48"/>
  <c r="G152" i="48" s="1"/>
  <c r="G164" i="48" s="1"/>
  <c r="H76" i="45"/>
  <c r="M76" i="45" s="1"/>
  <c r="H61" i="45"/>
  <c r="H171" i="45" s="1"/>
  <c r="H130" i="47"/>
  <c r="H142" i="47" s="1"/>
  <c r="H68" i="47"/>
  <c r="H154" i="47" s="1"/>
  <c r="H166" i="47" s="1"/>
  <c r="H65" i="49"/>
  <c r="H151" i="49" s="1"/>
  <c r="H163" i="49" s="1"/>
  <c r="H127" i="49"/>
  <c r="H139" i="49" s="1"/>
  <c r="H132" i="49"/>
  <c r="H144" i="49" s="1"/>
  <c r="H70" i="49"/>
  <c r="H156" i="49" s="1"/>
  <c r="H168" i="49" s="1"/>
  <c r="H68" i="49"/>
  <c r="H154" i="49" s="1"/>
  <c r="H166" i="49" s="1"/>
  <c r="H130" i="49"/>
  <c r="H142" i="49" s="1"/>
  <c r="H117" i="45"/>
  <c r="H191" i="45"/>
  <c r="H203" i="45" s="1"/>
  <c r="H129" i="47"/>
  <c r="H141" i="47" s="1"/>
  <c r="H67" i="47"/>
  <c r="H153" i="47" s="1"/>
  <c r="H165" i="47" s="1"/>
  <c r="H132" i="47"/>
  <c r="H144" i="47" s="1"/>
  <c r="H70" i="47"/>
  <c r="H156" i="47" s="1"/>
  <c r="H168" i="47" s="1"/>
  <c r="H62" i="45"/>
  <c r="H172" i="45" s="1"/>
  <c r="H77" i="45"/>
  <c r="M77" i="45" s="1"/>
  <c r="H121" i="33"/>
  <c r="M121" i="33" s="1"/>
  <c r="F212" i="44"/>
  <c r="F220" i="44" s="1"/>
  <c r="F159" i="44"/>
  <c r="F228" i="44" s="1"/>
  <c r="F236" i="44" s="1"/>
  <c r="H118" i="33"/>
  <c r="M118" i="33" s="1"/>
  <c r="F135" i="44"/>
  <c r="K135" i="44" s="1"/>
  <c r="F123" i="44"/>
  <c r="F204" i="44" s="1"/>
  <c r="H115" i="44"/>
  <c r="H151" i="44"/>
  <c r="G115" i="44"/>
  <c r="G151" i="44"/>
  <c r="H116" i="33"/>
  <c r="M116" i="33" s="1"/>
  <c r="E123" i="44"/>
  <c r="E204" i="44" s="1"/>
  <c r="E135" i="44"/>
  <c r="J135" i="44" s="1"/>
  <c r="M107" i="30"/>
  <c r="H300" i="31" l="1"/>
  <c r="J300" i="31" s="1"/>
  <c r="O22" i="40" s="1"/>
  <c r="J180" i="31"/>
  <c r="L22" i="40" s="1"/>
  <c r="H187" i="49"/>
  <c r="H196" i="49" s="1"/>
  <c r="F169" i="44"/>
  <c r="F260" i="44" s="1"/>
  <c r="F268" i="44" s="1"/>
  <c r="E169" i="44"/>
  <c r="E260" i="44" s="1"/>
  <c r="E268" i="44" s="1"/>
  <c r="G196" i="48"/>
  <c r="H196" i="48"/>
  <c r="H196" i="47"/>
  <c r="G196" i="47"/>
  <c r="G196" i="50"/>
  <c r="H196" i="50"/>
  <c r="J112" i="50"/>
  <c r="P28" i="40" s="1"/>
  <c r="G196" i="49"/>
  <c r="J112" i="49"/>
  <c r="P27" i="40" s="1"/>
  <c r="J112" i="48"/>
  <c r="P30" i="40" s="1"/>
  <c r="J124" i="48"/>
  <c r="M30" i="40" s="1"/>
  <c r="H124" i="47"/>
  <c r="G124" i="47"/>
  <c r="J264" i="31"/>
  <c r="J240" i="31"/>
  <c r="G244" i="44"/>
  <c r="G252" i="44" s="1"/>
  <c r="H184" i="48"/>
  <c r="J276" i="31"/>
  <c r="R22" i="40" s="1"/>
  <c r="H244" i="44"/>
  <c r="H252" i="44" s="1"/>
  <c r="G184" i="48"/>
  <c r="G211" i="49"/>
  <c r="G220" i="49" s="1"/>
  <c r="G208" i="49"/>
  <c r="G172" i="49"/>
  <c r="F228" i="45"/>
  <c r="G184" i="50"/>
  <c r="G184" i="49"/>
  <c r="H172" i="49"/>
  <c r="H184" i="50"/>
  <c r="H211" i="48"/>
  <c r="H220" i="48" s="1"/>
  <c r="H208" i="48"/>
  <c r="H211" i="50"/>
  <c r="H220" i="50" s="1"/>
  <c r="H208" i="50"/>
  <c r="G211" i="50"/>
  <c r="G220" i="50" s="1"/>
  <c r="G208" i="50"/>
  <c r="H211" i="49"/>
  <c r="H220" i="49" s="1"/>
  <c r="H208" i="49"/>
  <c r="E172" i="50"/>
  <c r="H184" i="49"/>
  <c r="G211" i="48"/>
  <c r="G220" i="48" s="1"/>
  <c r="G208" i="48"/>
  <c r="P159" i="44"/>
  <c r="O159" i="44"/>
  <c r="J196" i="44"/>
  <c r="P45" i="40" s="1"/>
  <c r="H267" i="45"/>
  <c r="H276" i="45" s="1"/>
  <c r="H264" i="45"/>
  <c r="G195" i="45"/>
  <c r="G204" i="45" s="1"/>
  <c r="G267" i="45"/>
  <c r="G276" i="45" s="1"/>
  <c r="G264" i="45"/>
  <c r="E228" i="45"/>
  <c r="G243" i="45"/>
  <c r="G252" i="45" s="1"/>
  <c r="G240" i="45"/>
  <c r="H195" i="45"/>
  <c r="H204" i="45" s="1"/>
  <c r="H243" i="45"/>
  <c r="H252" i="45" s="1"/>
  <c r="H240" i="45"/>
  <c r="H180" i="45"/>
  <c r="G180" i="45"/>
  <c r="E156" i="45"/>
  <c r="J168" i="45"/>
  <c r="P31" i="40" s="1"/>
  <c r="F165" i="50"/>
  <c r="F172" i="50" s="1"/>
  <c r="H153" i="50"/>
  <c r="H165" i="50" s="1"/>
  <c r="G152" i="50"/>
  <c r="G164" i="50" s="1"/>
  <c r="H151" i="50"/>
  <c r="H163" i="50" s="1"/>
  <c r="H152" i="50"/>
  <c r="H164" i="50" s="1"/>
  <c r="G153" i="50"/>
  <c r="G165" i="50" s="1"/>
  <c r="G151" i="50"/>
  <c r="G163" i="50" s="1"/>
  <c r="H154" i="50"/>
  <c r="H166" i="50" s="1"/>
  <c r="G154" i="50"/>
  <c r="G166" i="50" s="1"/>
  <c r="H148" i="50"/>
  <c r="G148" i="50"/>
  <c r="H124" i="50"/>
  <c r="G124" i="50"/>
  <c r="H148" i="49"/>
  <c r="G148" i="49"/>
  <c r="G124" i="49"/>
  <c r="H124" i="49"/>
  <c r="L58" i="45"/>
  <c r="K31" i="40" s="1"/>
  <c r="K47" i="45"/>
  <c r="I31" i="40" s="1"/>
  <c r="E220" i="47"/>
  <c r="F220" i="47"/>
  <c r="G148" i="48"/>
  <c r="H148" i="48"/>
  <c r="H163" i="48"/>
  <c r="H172" i="48" s="1"/>
  <c r="G163" i="48"/>
  <c r="G172" i="48" s="1"/>
  <c r="E160" i="47"/>
  <c r="E172" i="47"/>
  <c r="H148" i="47"/>
  <c r="G148" i="47"/>
  <c r="E160" i="49"/>
  <c r="J115" i="44"/>
  <c r="P84" i="45"/>
  <c r="O84" i="45"/>
  <c r="L123" i="47"/>
  <c r="G302" i="33"/>
  <c r="H302" i="33"/>
  <c r="J230" i="33"/>
  <c r="Q32" i="40" s="1"/>
  <c r="J218" i="33"/>
  <c r="J194" i="33"/>
  <c r="P32" i="40" s="1"/>
  <c r="J278" i="33"/>
  <c r="R32" i="40" s="1"/>
  <c r="H151" i="47"/>
  <c r="H163" i="47" s="1"/>
  <c r="G151" i="47"/>
  <c r="G163" i="47" s="1"/>
  <c r="G242" i="33"/>
  <c r="H242" i="33"/>
  <c r="H254" i="33"/>
  <c r="G254" i="33"/>
  <c r="J266" i="33"/>
  <c r="J288" i="31"/>
  <c r="F160" i="50"/>
  <c r="G290" i="33"/>
  <c r="E216" i="45"/>
  <c r="F160" i="49"/>
  <c r="F208" i="47"/>
  <c r="F216" i="45"/>
  <c r="E160" i="50"/>
  <c r="H136" i="50"/>
  <c r="H290" i="33"/>
  <c r="H192" i="45"/>
  <c r="G192" i="45"/>
  <c r="H212" i="45"/>
  <c r="H224" i="45" s="1"/>
  <c r="G211" i="45"/>
  <c r="G223" i="45" s="1"/>
  <c r="G215" i="45"/>
  <c r="G227" i="45" s="1"/>
  <c r="H213" i="45"/>
  <c r="H225" i="45" s="1"/>
  <c r="H211" i="45"/>
  <c r="H223" i="45" s="1"/>
  <c r="G213" i="45"/>
  <c r="G225" i="45" s="1"/>
  <c r="H215" i="45"/>
  <c r="H227" i="45" s="1"/>
  <c r="G212" i="45"/>
  <c r="G224" i="45" s="1"/>
  <c r="G136" i="50"/>
  <c r="G155" i="50"/>
  <c r="G167" i="50" s="1"/>
  <c r="H155" i="50"/>
  <c r="H167" i="50" s="1"/>
  <c r="H159" i="50"/>
  <c r="H171" i="50" s="1"/>
  <c r="H157" i="50"/>
  <c r="H169" i="50" s="1"/>
  <c r="H156" i="50"/>
  <c r="H168" i="50" s="1"/>
  <c r="G157" i="50"/>
  <c r="G169" i="50" s="1"/>
  <c r="G159" i="50"/>
  <c r="G171" i="50" s="1"/>
  <c r="G156" i="50"/>
  <c r="G168" i="50" s="1"/>
  <c r="G136" i="49"/>
  <c r="H136" i="49"/>
  <c r="H160" i="48"/>
  <c r="G160" i="48"/>
  <c r="G136" i="48"/>
  <c r="H136" i="48"/>
  <c r="E208" i="47"/>
  <c r="F184" i="47"/>
  <c r="E184" i="47"/>
  <c r="H136" i="47"/>
  <c r="G136" i="47"/>
  <c r="H200" i="47"/>
  <c r="H212" i="47" s="1"/>
  <c r="H204" i="47"/>
  <c r="H216" i="47" s="1"/>
  <c r="G205" i="47"/>
  <c r="G217" i="47" s="1"/>
  <c r="H205" i="47"/>
  <c r="H217" i="47" s="1"/>
  <c r="H207" i="47"/>
  <c r="H219" i="47" s="1"/>
  <c r="G200" i="47"/>
  <c r="G212" i="47" s="1"/>
  <c r="G203" i="47"/>
  <c r="G215" i="47" s="1"/>
  <c r="G202" i="47"/>
  <c r="G214" i="47" s="1"/>
  <c r="G199" i="47"/>
  <c r="G211" i="47" s="1"/>
  <c r="H203" i="47"/>
  <c r="H215" i="47" s="1"/>
  <c r="G207" i="47"/>
  <c r="G219" i="47" s="1"/>
  <c r="G204" i="47"/>
  <c r="G216" i="47" s="1"/>
  <c r="H202" i="47"/>
  <c r="H214" i="47" s="1"/>
  <c r="G201" i="47"/>
  <c r="G213" i="47" s="1"/>
  <c r="G87" i="45"/>
  <c r="L87" i="45" s="1"/>
  <c r="H87" i="45"/>
  <c r="M87" i="45" s="1"/>
  <c r="H93" i="45"/>
  <c r="M93" i="45" s="1"/>
  <c r="G91" i="45"/>
  <c r="L91" i="45" s="1"/>
  <c r="G95" i="45"/>
  <c r="L95" i="45" s="1"/>
  <c r="G90" i="45"/>
  <c r="L90" i="45" s="1"/>
  <c r="H95" i="45"/>
  <c r="M95" i="45" s="1"/>
  <c r="H92" i="45"/>
  <c r="M92" i="45" s="1"/>
  <c r="H91" i="45"/>
  <c r="M91" i="45" s="1"/>
  <c r="H89" i="45"/>
  <c r="M89" i="45" s="1"/>
  <c r="H88" i="45"/>
  <c r="M88" i="45" s="1"/>
  <c r="H90" i="45"/>
  <c r="M90" i="45" s="1"/>
  <c r="G93" i="45"/>
  <c r="L93" i="45" s="1"/>
  <c r="G88" i="45"/>
  <c r="L88" i="45" s="1"/>
  <c r="G89" i="45"/>
  <c r="L89" i="45" s="1"/>
  <c r="G92" i="45"/>
  <c r="L92" i="45" s="1"/>
  <c r="H135" i="44"/>
  <c r="M135" i="44" s="1"/>
  <c r="P135" i="44" s="1"/>
  <c r="H123" i="44"/>
  <c r="H204" i="44" s="1"/>
  <c r="F143" i="44"/>
  <c r="K143" i="44" s="1"/>
  <c r="G159" i="44"/>
  <c r="G228" i="44" s="1"/>
  <c r="G236" i="44" s="1"/>
  <c r="G212" i="44"/>
  <c r="G220" i="44" s="1"/>
  <c r="G135" i="44"/>
  <c r="L135" i="44" s="1"/>
  <c r="O135" i="44" s="1"/>
  <c r="G123" i="44"/>
  <c r="G204" i="44" s="1"/>
  <c r="H159" i="44"/>
  <c r="H228" i="44" s="1"/>
  <c r="H236" i="44" s="1"/>
  <c r="H212" i="44"/>
  <c r="H220" i="44" s="1"/>
  <c r="E143" i="44"/>
  <c r="J143" i="44" s="1"/>
  <c r="P17" i="40" l="1"/>
  <c r="J31" i="40"/>
  <c r="J45" i="40"/>
  <c r="J196" i="50"/>
  <c r="R28" i="40" s="1"/>
  <c r="J196" i="47"/>
  <c r="R29" i="40" s="1"/>
  <c r="J196" i="48"/>
  <c r="R30" i="40" s="1"/>
  <c r="J204" i="44"/>
  <c r="M45" i="40" s="1"/>
  <c r="J220" i="49"/>
  <c r="O27" i="40" s="1"/>
  <c r="J148" i="50"/>
  <c r="Q28" i="40" s="1"/>
  <c r="J124" i="47"/>
  <c r="M29" i="40" s="1"/>
  <c r="J252" i="44"/>
  <c r="R45" i="40" s="1"/>
  <c r="J220" i="44"/>
  <c r="Q45" i="40" s="1"/>
  <c r="J236" i="44"/>
  <c r="N45" i="40" s="1"/>
  <c r="J208" i="49"/>
  <c r="J196" i="49"/>
  <c r="R27" i="40" s="1"/>
  <c r="J252" i="45"/>
  <c r="R31" i="40" s="1"/>
  <c r="H169" i="44"/>
  <c r="H260" i="44" s="1"/>
  <c r="H268" i="44" s="1"/>
  <c r="G169" i="44"/>
  <c r="G260" i="44" s="1"/>
  <c r="G268" i="44" s="1"/>
  <c r="J184" i="50"/>
  <c r="J172" i="49"/>
  <c r="N27" i="40" s="1"/>
  <c r="J220" i="50"/>
  <c r="O28" i="40" s="1"/>
  <c r="J180" i="45"/>
  <c r="M31" i="40" s="1"/>
  <c r="J220" i="48"/>
  <c r="O30" i="40" s="1"/>
  <c r="J184" i="48"/>
  <c r="J208" i="48"/>
  <c r="J208" i="50"/>
  <c r="G228" i="45"/>
  <c r="J240" i="45"/>
  <c r="J264" i="45"/>
  <c r="J276" i="45"/>
  <c r="O31" i="40" s="1"/>
  <c r="J184" i="49"/>
  <c r="H228" i="45"/>
  <c r="J204" i="45"/>
  <c r="Q31" i="40" s="1"/>
  <c r="J148" i="49"/>
  <c r="Q27" i="40" s="1"/>
  <c r="H156" i="45"/>
  <c r="G156" i="45"/>
  <c r="H172" i="50"/>
  <c r="G172" i="50"/>
  <c r="J124" i="50"/>
  <c r="M28" i="40" s="1"/>
  <c r="J124" i="49"/>
  <c r="M27" i="40" s="1"/>
  <c r="J148" i="48"/>
  <c r="Q30" i="40" s="1"/>
  <c r="J136" i="49"/>
  <c r="K17" i="44"/>
  <c r="I45" i="40" s="1"/>
  <c r="K115" i="44"/>
  <c r="K45" i="40" s="1"/>
  <c r="J192" i="45"/>
  <c r="H220" i="47"/>
  <c r="G220" i="47"/>
  <c r="J172" i="48"/>
  <c r="N30" i="40" s="1"/>
  <c r="G160" i="47"/>
  <c r="G172" i="47"/>
  <c r="H160" i="47"/>
  <c r="H172" i="47"/>
  <c r="J148" i="47"/>
  <c r="Q29" i="40" s="1"/>
  <c r="J302" i="33"/>
  <c r="O32" i="40" s="1"/>
  <c r="J254" i="33"/>
  <c r="N32" i="40" s="1"/>
  <c r="J242" i="33"/>
  <c r="H184" i="47"/>
  <c r="J136" i="50"/>
  <c r="J160" i="48"/>
  <c r="J290" i="33"/>
  <c r="G216" i="45"/>
  <c r="H160" i="49"/>
  <c r="G160" i="49"/>
  <c r="H160" i="50"/>
  <c r="H216" i="45"/>
  <c r="G208" i="47"/>
  <c r="H208" i="47"/>
  <c r="G160" i="50"/>
  <c r="J136" i="48"/>
  <c r="G184" i="47"/>
  <c r="J136" i="47"/>
  <c r="G143" i="44"/>
  <c r="L143" i="44" s="1"/>
  <c r="H143" i="44"/>
  <c r="M143" i="44" s="1"/>
  <c r="R17" i="40" l="1"/>
  <c r="Q17" i="40"/>
  <c r="J268" i="44"/>
  <c r="O45" i="40" s="1"/>
  <c r="J156" i="45"/>
  <c r="L31" i="40" s="1"/>
  <c r="L17" i="40" s="1"/>
  <c r="J17" i="40" s="1"/>
  <c r="J228" i="45"/>
  <c r="N31" i="40" s="1"/>
  <c r="J172" i="50"/>
  <c r="N28" i="40" s="1"/>
  <c r="J220" i="47"/>
  <c r="O29" i="40" s="1"/>
  <c r="J160" i="47"/>
  <c r="J172" i="47"/>
  <c r="N29" i="40" s="1"/>
  <c r="J184" i="47"/>
  <c r="J160" i="50"/>
  <c r="J160" i="49"/>
  <c r="J208" i="47"/>
  <c r="J216" i="45"/>
  <c r="N17" i="40" l="1"/>
  <c r="O17" i="40"/>
  <c r="E154" i="29"/>
  <c r="F154" i="29"/>
  <c r="G154" i="29"/>
  <c r="F82" i="32" l="1"/>
  <c r="F78" i="34"/>
  <c r="F104" i="34" s="1"/>
  <c r="F82" i="33"/>
  <c r="F108" i="33" s="1"/>
  <c r="E78" i="34"/>
  <c r="E82" i="32"/>
  <c r="E82" i="33"/>
  <c r="G82" i="33"/>
  <c r="G108" i="33" s="1"/>
  <c r="G78" i="34"/>
  <c r="G104" i="34" s="1"/>
  <c r="G82" i="32"/>
  <c r="G80" i="31"/>
  <c r="G106" i="31" s="1"/>
  <c r="G73" i="30"/>
  <c r="F73" i="30"/>
  <c r="F80" i="31"/>
  <c r="F106" i="31" s="1"/>
  <c r="E73" i="30"/>
  <c r="E80" i="31"/>
  <c r="H154" i="29"/>
  <c r="E108" i="33" l="1"/>
  <c r="J108" i="33" s="1"/>
  <c r="E104" i="34"/>
  <c r="J104" i="34" s="1"/>
  <c r="E106" i="31"/>
  <c r="J106" i="31" s="1"/>
  <c r="G99" i="30"/>
  <c r="L99" i="30" s="1"/>
  <c r="G108" i="32"/>
  <c r="L108" i="32" s="1"/>
  <c r="E93" i="32"/>
  <c r="E203" i="32" s="1"/>
  <c r="E206" i="32" s="1"/>
  <c r="E108" i="32"/>
  <c r="J108" i="32" s="1"/>
  <c r="F108" i="32"/>
  <c r="K108" i="32" s="1"/>
  <c r="E99" i="30"/>
  <c r="J99" i="30" s="1"/>
  <c r="F99" i="30"/>
  <c r="K99" i="30" s="1"/>
  <c r="F93" i="32"/>
  <c r="F203" i="32" s="1"/>
  <c r="F206" i="32" s="1"/>
  <c r="G89" i="34"/>
  <c r="G187" i="34" s="1"/>
  <c r="G190" i="34" s="1"/>
  <c r="L104" i="34"/>
  <c r="G93" i="33"/>
  <c r="G203" i="33" s="1"/>
  <c r="G206" i="33" s="1"/>
  <c r="L108" i="33"/>
  <c r="E93" i="33"/>
  <c r="E203" i="33" s="1"/>
  <c r="E206" i="33" s="1"/>
  <c r="G93" i="32"/>
  <c r="G203" i="32" s="1"/>
  <c r="G206" i="32" s="1"/>
  <c r="E89" i="34"/>
  <c r="E187" i="34" s="1"/>
  <c r="E190" i="34" s="1"/>
  <c r="H82" i="33"/>
  <c r="H108" i="33" s="1"/>
  <c r="H78" i="34"/>
  <c r="K80" i="34" s="1"/>
  <c r="H82" i="32"/>
  <c r="K84" i="32" s="1"/>
  <c r="H80" i="31"/>
  <c r="H106" i="31" s="1"/>
  <c r="K108" i="33"/>
  <c r="F93" i="33"/>
  <c r="F203" i="33" s="1"/>
  <c r="F206" i="33" s="1"/>
  <c r="K104" i="34"/>
  <c r="F89" i="34"/>
  <c r="F187" i="34" s="1"/>
  <c r="F190" i="34" s="1"/>
  <c r="E84" i="30"/>
  <c r="E194" i="30" s="1"/>
  <c r="E197" i="30" s="1"/>
  <c r="F91" i="31"/>
  <c r="F201" i="31" s="1"/>
  <c r="F204" i="31" s="1"/>
  <c r="K106" i="31"/>
  <c r="H73" i="30"/>
  <c r="H99" i="30" s="1"/>
  <c r="F84" i="30"/>
  <c r="F194" i="30" s="1"/>
  <c r="F197" i="30" s="1"/>
  <c r="G91" i="31"/>
  <c r="G201" i="31" s="1"/>
  <c r="G204" i="31" s="1"/>
  <c r="L106" i="31"/>
  <c r="E91" i="31"/>
  <c r="E201" i="31" s="1"/>
  <c r="E204" i="31" s="1"/>
  <c r="G84" i="30"/>
  <c r="G194" i="30" s="1"/>
  <c r="G197" i="30" s="1"/>
  <c r="O110" i="33" l="1"/>
  <c r="O101" i="30"/>
  <c r="O110" i="32"/>
  <c r="F119" i="33"/>
  <c r="K119" i="33" s="1"/>
  <c r="E119" i="32"/>
  <c r="J119" i="32" s="1"/>
  <c r="G119" i="33"/>
  <c r="L119" i="33" s="1"/>
  <c r="G115" i="34"/>
  <c r="L115" i="34" s="1"/>
  <c r="O108" i="31"/>
  <c r="O106" i="34"/>
  <c r="E119" i="33"/>
  <c r="J119" i="33" s="1"/>
  <c r="F115" i="34"/>
  <c r="K115" i="34" s="1"/>
  <c r="E115" i="34"/>
  <c r="J115" i="34" s="1"/>
  <c r="K84" i="33"/>
  <c r="J84" i="33"/>
  <c r="J84" i="32"/>
  <c r="H104" i="34"/>
  <c r="M104" i="34" s="1"/>
  <c r="L80" i="34" s="1"/>
  <c r="K21" i="40" s="1"/>
  <c r="J80" i="34"/>
  <c r="J82" i="31"/>
  <c r="K82" i="31"/>
  <c r="J75" i="30"/>
  <c r="K75" i="30"/>
  <c r="F117" i="31"/>
  <c r="E110" i="30"/>
  <c r="J110" i="30" s="1"/>
  <c r="G117" i="31"/>
  <c r="H108" i="32"/>
  <c r="M108" i="32" s="1"/>
  <c r="P110" i="32" s="1"/>
  <c r="F110" i="30"/>
  <c r="K110" i="30" s="1"/>
  <c r="E117" i="31"/>
  <c r="G119" i="32"/>
  <c r="L119" i="32" s="1"/>
  <c r="G110" i="30"/>
  <c r="L110" i="30" s="1"/>
  <c r="F119" i="32"/>
  <c r="K119" i="32" s="1"/>
  <c r="H93" i="32"/>
  <c r="H203" i="32" s="1"/>
  <c r="H206" i="32" s="1"/>
  <c r="J206" i="32" s="1"/>
  <c r="M23" i="40" s="1"/>
  <c r="H89" i="34"/>
  <c r="H187" i="34" s="1"/>
  <c r="H190" i="34" s="1"/>
  <c r="J190" i="34" s="1"/>
  <c r="M21" i="40" s="1"/>
  <c r="H93" i="33"/>
  <c r="H203" i="33" s="1"/>
  <c r="H206" i="33" s="1"/>
  <c r="J206" i="33" s="1"/>
  <c r="M32" i="40" s="1"/>
  <c r="M108" i="33"/>
  <c r="P110" i="33" s="1"/>
  <c r="H91" i="31"/>
  <c r="M106" i="31"/>
  <c r="L82" i="31" s="1"/>
  <c r="K22" i="40" s="1"/>
  <c r="H84" i="30"/>
  <c r="M99" i="30"/>
  <c r="L75" i="30" s="1"/>
  <c r="K24" i="40" s="1"/>
  <c r="J23" i="40" l="1"/>
  <c r="J32" i="40"/>
  <c r="H194" i="30"/>
  <c r="H201" i="31"/>
  <c r="L84" i="32"/>
  <c r="K23" i="40" s="1"/>
  <c r="K39" i="33"/>
  <c r="I32" i="40" s="1"/>
  <c r="L84" i="33"/>
  <c r="K32" i="40" s="1"/>
  <c r="L205" i="32"/>
  <c r="K36" i="34"/>
  <c r="I21" i="40" s="1"/>
  <c r="H115" i="34"/>
  <c r="M115" i="34" s="1"/>
  <c r="L189" i="34"/>
  <c r="K31" i="31"/>
  <c r="I22" i="40" s="1"/>
  <c r="K39" i="32"/>
  <c r="I23" i="40" s="1"/>
  <c r="P106" i="34"/>
  <c r="K34" i="30"/>
  <c r="I24" i="40" s="1"/>
  <c r="P101" i="30"/>
  <c r="J24" i="40" s="1"/>
  <c r="H119" i="33"/>
  <c r="M119" i="33" s="1"/>
  <c r="L205" i="33"/>
  <c r="P108" i="31"/>
  <c r="J22" i="40" s="1"/>
  <c r="H117" i="31"/>
  <c r="H119" i="32"/>
  <c r="M119" i="32" s="1"/>
  <c r="H110" i="30"/>
  <c r="M110" i="30" s="1"/>
  <c r="L196" i="30" l="1"/>
  <c r="H197" i="30"/>
  <c r="J197" i="30" s="1"/>
  <c r="M24" i="40" s="1"/>
  <c r="L203" i="31"/>
  <c r="H204" i="31"/>
  <c r="J204" i="31" s="1"/>
  <c r="M22" i="40" s="1"/>
  <c r="M17" i="40" l="1"/>
  <c r="K17" i="40" s="1"/>
  <c r="I17" i="40" s="1"/>
  <c r="L118" i="31"/>
  <c r="J118" i="31"/>
  <c r="M114" i="31"/>
  <c r="K112" i="31" l="1"/>
  <c r="K113" i="31"/>
  <c r="J113" i="31"/>
  <c r="L112" i="31"/>
  <c r="M117" i="31"/>
  <c r="M119" i="31"/>
  <c r="K119" i="31"/>
  <c r="M111" i="31"/>
  <c r="M116" i="31"/>
  <c r="K117" i="31"/>
  <c r="K114" i="31"/>
  <c r="J114" i="31"/>
  <c r="K115" i="31"/>
  <c r="L117" i="31"/>
  <c r="J112" i="31"/>
  <c r="J115" i="31"/>
  <c r="K116" i="31"/>
  <c r="M118" i="31"/>
  <c r="K111" i="31"/>
  <c r="L116" i="31"/>
  <c r="M112" i="31"/>
  <c r="J117" i="31"/>
  <c r="J116" i="31"/>
  <c r="L119" i="31"/>
  <c r="M113" i="31"/>
  <c r="M115" i="31"/>
  <c r="K118" i="31"/>
  <c r="J111" i="31"/>
  <c r="J119" i="31"/>
  <c r="L115" i="31"/>
  <c r="L111" i="31"/>
  <c r="L113" i="31"/>
  <c r="L114"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Böck Elisabeth</author>
  </authors>
  <commentList>
    <comment ref="B13" authorId="0" shapeId="0" xr:uid="{6A6AE3C6-D9DC-401B-B286-BD1AAFB22FE4}">
      <text>
        <r>
          <rPr>
            <b/>
            <sz val="9"/>
            <color indexed="81"/>
            <rFont val="Segoe UI"/>
            <family val="2"/>
          </rPr>
          <t>Source:</t>
        </r>
        <r>
          <rPr>
            <sz val="9"/>
            <color indexed="81"/>
            <rFont val="Segoe UI"/>
            <family val="2"/>
          </rPr>
          <t xml:space="preserve">
https://www.eea.europa.eu/en/analysis/indicators/greenhouse-gas-emission-intensity-of-1?activeAccordion=ecdb3bcf-bbe9-4978-b5cf-0b136399d9f8
</t>
        </r>
      </text>
    </comment>
    <comment ref="C15" authorId="0" shapeId="0" xr:uid="{E3C80BA6-153B-4B40-BEA4-EA6BEB0F2183}">
      <text>
        <r>
          <rPr>
            <sz val="9"/>
            <color indexed="81"/>
            <rFont val="Segoe UI"/>
            <family val="2"/>
          </rPr>
          <t xml:space="preserve">ÖKOBAUDAT 2024 </t>
        </r>
      </text>
    </comment>
    <comment ref="C16" authorId="0" shapeId="0" xr:uid="{672FF28F-A934-479C-94A4-BA183C3EF9FA}">
      <text>
        <r>
          <rPr>
            <sz val="9"/>
            <color indexed="81"/>
            <rFont val="Segoe UI"/>
            <charset val="1"/>
          </rPr>
          <t>Calculated from Eurostat 2024 gross heat production by fuel (nrg_bal_peh) using direct fuel CO₂ factors; output-based national average district heat factor; upstream emissions excluded.</t>
        </r>
      </text>
    </comment>
    <comment ref="C17" authorId="0" shapeId="0" xr:uid="{5E6E9481-9EEE-4A75-9A70-F5D4F818D8DF}">
      <text>
        <r>
          <rPr>
            <sz val="9"/>
            <color indexed="81"/>
            <rFont val="Segoe UI"/>
            <charset val="1"/>
          </rPr>
          <t>https://secure.umweltbundesamt.at/co2mon/co2mon.html</t>
        </r>
      </text>
    </comment>
    <comment ref="C18" authorId="0" shapeId="0" xr:uid="{17E24B26-2E15-4443-AC69-607E099DC737}">
      <text>
        <r>
          <rPr>
            <sz val="9"/>
            <color indexed="81"/>
            <rFont val="Segoe UI"/>
            <family val="2"/>
          </rPr>
          <t>Calculated from Eurostat 2024 gross heat production by fuel (nrg_bal_peh) using direct fuel CO₂ factors; output-based national average district heat factor; upstream emissions excluded.</t>
        </r>
      </text>
    </comment>
    <comment ref="C19" authorId="0" shapeId="0" xr:uid="{60A11D70-6FF6-4B66-9CB1-6D65A7B7E721}">
      <text>
        <r>
          <rPr>
            <sz val="9"/>
            <color indexed="81"/>
            <rFont val="Segoe UI"/>
            <family val="2"/>
          </rPr>
          <t>Calculated from Eurostat 2024 gross heat production by fuel (nrg_bal_peh) using direct fuel CO₂ factors; output-based national average district heat factor; upstream emissions excluded.</t>
        </r>
      </text>
    </comment>
    <comment ref="A22" authorId="0" shapeId="0" xr:uid="{938C3CE8-C3C0-45D2-9169-149FE3A20859}">
      <text>
        <r>
          <rPr>
            <b/>
            <sz val="9"/>
            <color indexed="81"/>
            <rFont val="Segoe UI"/>
            <family val="2"/>
          </rPr>
          <t>Sources:</t>
        </r>
        <r>
          <rPr>
            <sz val="9"/>
            <color indexed="81"/>
            <rFont val="Segoe UI"/>
            <family val="2"/>
          </rPr>
          <t xml:space="preserve">
Partner estimates</t>
        </r>
      </text>
    </comment>
    <comment ref="B33" authorId="0" shapeId="0" xr:uid="{3EEEC75D-2DCC-4AD7-9A9B-CAD1E372639C}">
      <text>
        <r>
          <rPr>
            <b/>
            <sz val="9"/>
            <color indexed="81"/>
            <rFont val="Segoe UI"/>
            <family val="2"/>
          </rPr>
          <t>Source:</t>
        </r>
        <r>
          <rPr>
            <sz val="9"/>
            <color indexed="81"/>
            <rFont val="Segoe UI"/>
            <family val="2"/>
          </rPr>
          <t xml:space="preserve">
Eurostat 2025 Price level indices [prc_ppp_ind_1]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tc={FF8EA779-5B60-4820-B0D9-F3B962341E19}</author>
  </authors>
  <commentList>
    <comment ref="G34" authorId="0" shapeId="0" xr:uid="{FF8EA779-5B60-4820-B0D9-F3B962341E1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with hot water SPH buffer storage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tc={72A594AE-A810-4307-BD01-5326DE825717}</author>
  </authors>
  <commentList>
    <comment ref="E13" authorId="0" shapeId="0" xr:uid="{72A594AE-A810-4307-BD01-5326DE82571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Estimation
As 20 m of pipe diameter 25 mm without insulation lead to 30 W/m heat loss
With 70°C flow and 15°C cellar temperature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tc={E9622519-71B5-4E4D-B00F-958F9FECE387}</author>
    <author>tc={6B3422DA-69EE-444F-9255-26A0E6F73F75}</author>
    <author>tc={7EBDE693-F84D-464B-B04C-48F3F4EEF265}</author>
  </authors>
  <commentList>
    <comment ref="E13" authorId="0" shapeId="0" xr:uid="{E9622519-71B5-4E4D-B00F-958F9FECE38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Estimation
As 20 m of pipe diameter 25 mm without insulation lead to 30 W/m heat loss
With 70°C flow and 15°C cellar temperature</t>
      </text>
    </comment>
    <comment ref="H18" authorId="1" shapeId="0" xr:uid="{6B3422DA-69EE-444F-9255-26A0E6F73F7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Decentral DHW distribution</t>
      </text>
    </comment>
    <comment ref="H28" authorId="2" shapeId="0" xr:uid="{7EBDE693-F84D-464B-B04C-48F3F4EEF26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Decentral DHW distribution</t>
      </text>
    </comment>
  </commentList>
</comments>
</file>

<file path=xl/sharedStrings.xml><?xml version="1.0" encoding="utf-8"?>
<sst xmlns="http://schemas.openxmlformats.org/spreadsheetml/2006/main" count="9909" uniqueCount="907">
  <si>
    <t>This project has received co-funding from the European Union’s LIFE programme under grant agreement No 101120878.
Neither the European Commission nor any person acting on behalf of the Commission is responsible for the use which might be made of the following information. The views expressed in this publication are the sole responsibility of the author and do not necessarily reflect the views of the European Commission.</t>
  </si>
  <si>
    <t>Data Input</t>
  </si>
  <si>
    <r>
      <rPr>
        <sz val="11"/>
        <rFont val="Calibri"/>
        <family val="2"/>
        <scheme val="minor"/>
      </rPr>
      <t xml:space="preserve">Please fill all </t>
    </r>
    <r>
      <rPr>
        <sz val="11"/>
        <color rgb="FFB5683D"/>
        <rFont val="Calibri"/>
        <family val="2"/>
        <scheme val="minor"/>
      </rPr>
      <t>orange</t>
    </r>
    <r>
      <rPr>
        <sz val="11"/>
        <color rgb="FF005D8E"/>
        <rFont val="Calibri"/>
        <family val="2"/>
        <scheme val="minor"/>
      </rPr>
      <t xml:space="preserve"> </t>
    </r>
    <r>
      <rPr>
        <sz val="11"/>
        <rFont val="Calibri"/>
        <family val="2"/>
        <scheme val="minor"/>
      </rPr>
      <t>cells with regional data (or national, if no regional values are available) to correctly calculate the savings achieved by the campaign.</t>
    </r>
  </si>
  <si>
    <t>Household data</t>
  </si>
  <si>
    <t>National / Regional average</t>
  </si>
  <si>
    <t>Single family house</t>
  </si>
  <si>
    <t>Apartment house</t>
  </si>
  <si>
    <t>unrefurbished</t>
  </si>
  <si>
    <t>refurbished</t>
  </si>
  <si>
    <t>Share of builings in respective category</t>
  </si>
  <si>
    <t>Heated gross floor area [m²]</t>
  </si>
  <si>
    <t>Space heating demand [kWh/m²a]</t>
  </si>
  <si>
    <t>Persons per household</t>
  </si>
  <si>
    <t>Share of main space heating fuels [%]</t>
  </si>
  <si>
    <t>District heat</t>
  </si>
  <si>
    <t>Log wood</t>
  </si>
  <si>
    <t>Biomass pellets</t>
  </si>
  <si>
    <t>Brown coal briquettes</t>
  </si>
  <si>
    <t>Liquefied Petroleum Gas (LPG)</t>
  </si>
  <si>
    <t>Fuel oil</t>
  </si>
  <si>
    <t>Natural gas</t>
  </si>
  <si>
    <t>Direct-electricity system</t>
  </si>
  <si>
    <t>Central heat pump</t>
  </si>
  <si>
    <t>Checksum</t>
  </si>
  <si>
    <t>Energy supply data</t>
  </si>
  <si>
    <t>Country:</t>
  </si>
  <si>
    <t>- select country -</t>
  </si>
  <si>
    <t>Energy prices, incl. VAT</t>
  </si>
  <si>
    <t>Energy Carrier</t>
  </si>
  <si>
    <t>User values</t>
  </si>
  <si>
    <t>Default values</t>
  </si>
  <si>
    <t>Calculation value</t>
  </si>
  <si>
    <t>Unit</t>
  </si>
  <si>
    <t>District heat (energy rate)</t>
  </si>
  <si>
    <t>€/MWh</t>
  </si>
  <si>
    <t>€/m³ stacked</t>
  </si>
  <si>
    <t>€/t</t>
  </si>
  <si>
    <t>€/100 l</t>
  </si>
  <si>
    <t>€ Cent/kWh</t>
  </si>
  <si>
    <t>Electricity</t>
  </si>
  <si>
    <t>Primary energy carriers in the electricity and district heat generation mix</t>
  </si>
  <si>
    <t>Electricity generation mix</t>
  </si>
  <si>
    <t>Energy conversion input [%]</t>
  </si>
  <si>
    <t>Country data</t>
  </si>
  <si>
    <t>Biomass</t>
  </si>
  <si>
    <t>Nuclear energy</t>
  </si>
  <si>
    <t>Ambient heat</t>
  </si>
  <si>
    <t>Hard coal</t>
  </si>
  <si>
    <t>Brown coal</t>
  </si>
  <si>
    <t>Residual Oil</t>
  </si>
  <si>
    <t>Other fossil fuels (municipal waste)</t>
  </si>
  <si>
    <t>Hydro power</t>
  </si>
  <si>
    <t>Wind power</t>
  </si>
  <si>
    <t>Solar PV</t>
  </si>
  <si>
    <t>Total</t>
  </si>
  <si>
    <t>District heat generation mix</t>
  </si>
  <si>
    <t>GHG emission factor [g CO2e/kWh]</t>
  </si>
  <si>
    <t>Calculation data</t>
  </si>
  <si>
    <t>Regional data</t>
  </si>
  <si>
    <t>Emission factor</t>
  </si>
  <si>
    <t>Geothermal</t>
  </si>
  <si>
    <t>Solar thermal</t>
  </si>
  <si>
    <t>Other fuels</t>
  </si>
  <si>
    <t>Campaign Input</t>
  </si>
  <si>
    <t>Energy savings campaign</t>
  </si>
  <si>
    <t>Please select the type of campaign you are going to implement and add information on the campaign costs and the number of households reached by the campaign</t>
  </si>
  <si>
    <t>Campaign type</t>
  </si>
  <si>
    <t>- select campaign type -</t>
  </si>
  <si>
    <t>Campaign costs</t>
  </si>
  <si>
    <t>€</t>
  </si>
  <si>
    <t>Number of households reached</t>
  </si>
  <si>
    <t>Country</t>
  </si>
  <si>
    <t>Please select the energy savings measures addressed within the campaign by including an "x" next to the relevant measure(s):</t>
  </si>
  <si>
    <t>Total Savings of the campaign</t>
  </si>
  <si>
    <t>Campaign is beneficial for society</t>
  </si>
  <si>
    <t>Net present value of social cost savings [€]</t>
  </si>
  <si>
    <t>Triggered Household Investments [€]</t>
  </si>
  <si>
    <t>Energy cost savings [€]</t>
  </si>
  <si>
    <t>Avoided social costs of 
GHG-emissions [€]</t>
  </si>
  <si>
    <t>Avoided social health costs of other air pollutant emissions [€]</t>
  </si>
  <si>
    <t>Final Energy 
savings [kWh]</t>
  </si>
  <si>
    <t>GHG savings 
[t CO2e]</t>
  </si>
  <si>
    <t>Avoided other air 
pollutant emissions [t]</t>
  </si>
  <si>
    <t>Total savings</t>
  </si>
  <si>
    <t>Space Heating</t>
  </si>
  <si>
    <t>Average Final 
Energy savings [kWh/a]</t>
  </si>
  <si>
    <t>Payback during 
lifetime</t>
  </si>
  <si>
    <t>Average cost 
savings [€/a]</t>
  </si>
  <si>
    <t>Household level, savings per year</t>
  </si>
  <si>
    <t>Campaign level, savings over lifetime</t>
  </si>
  <si>
    <t>N</t>
  </si>
  <si>
    <t>Room temperature reduction (during the day / when sleeping / when absent)</t>
  </si>
  <si>
    <t>L</t>
  </si>
  <si>
    <t>Sealing gaps, cracks, and drafts around windows and doors to eliminate heat leaks</t>
  </si>
  <si>
    <t>Insulating pipes and fittings in unheated rooms</t>
  </si>
  <si>
    <t>I</t>
  </si>
  <si>
    <t>Insulation of the uppermost ceiling</t>
  </si>
  <si>
    <t>Domestic Hot Water</t>
  </si>
  <si>
    <t>Showering instead of bathing</t>
  </si>
  <si>
    <t>Using less water when showering - Reduction of showering time</t>
  </si>
  <si>
    <t>Use a dishwasher instead of washing by hand</t>
  </si>
  <si>
    <t>Use more cold tap water instead of hot</t>
  </si>
  <si>
    <t>Economy shower head (lower water flow rate)</t>
  </si>
  <si>
    <t>Electric household appliances</t>
  </si>
  <si>
    <t>Switching off light when absent</t>
  </si>
  <si>
    <t>Washing machine - Washing without prewash</t>
  </si>
  <si>
    <t>Washing machine - Use eco programs for washing machine</t>
  </si>
  <si>
    <t>Washing machine - Using detergents allowing to wash laundry at 30 degrees</t>
  </si>
  <si>
    <t xml:space="preserve">Tumble dryer - Leave laundry to dry on a clothes horse </t>
  </si>
  <si>
    <t>Use eco programs for dish washer</t>
  </si>
  <si>
    <t>Turning off devices with standby electricity consumption</t>
  </si>
  <si>
    <t>Use LEDs (partly with motion sensors)</t>
  </si>
  <si>
    <t>Use switchable sockets to avoid stand-by</t>
  </si>
  <si>
    <t>Using stand fans for reducing air conditioning operation</t>
  </si>
  <si>
    <t>Replacing old circulation pumps for domestic hot water transport</t>
  </si>
  <si>
    <t>Replacing old circulation pumps for space heat water transport</t>
  </si>
  <si>
    <t>Replacing inefficient electricity devices (refrigerator)</t>
  </si>
  <si>
    <t>Replacing inefficient electricity devices (freezer)</t>
  </si>
  <si>
    <t>Replacing inefficient electricity devices (washing machine)</t>
  </si>
  <si>
    <t>Replacing inefficient electricity devices (dish washer)</t>
  </si>
  <si>
    <t>Workshop</t>
  </si>
  <si>
    <t>Energy consultation</t>
  </si>
  <si>
    <t>tvb media comparisons study 2021</t>
  </si>
  <si>
    <t>Other events</t>
  </si>
  <si>
    <t>Online</t>
  </si>
  <si>
    <t>Article / newspaper page</t>
  </si>
  <si>
    <t>print allgemein</t>
  </si>
  <si>
    <t>Website tipps / online campaign / Social Media</t>
  </si>
  <si>
    <t>Promotion material</t>
  </si>
  <si>
    <t>print speziell</t>
  </si>
  <si>
    <t>Open house day</t>
  </si>
  <si>
    <t>Partner Countries</t>
  </si>
  <si>
    <t>GHG electricity (direct)</t>
  </si>
  <si>
    <t>GHG heat (direct)</t>
  </si>
  <si>
    <t>[g CO2e/kWh]</t>
  </si>
  <si>
    <t>Germany</t>
  </si>
  <si>
    <t>Lithuania</t>
  </si>
  <si>
    <t>Austria</t>
  </si>
  <si>
    <t>Portugal</t>
  </si>
  <si>
    <t>Slovenia</t>
  </si>
  <si>
    <t>Energy Prices</t>
  </si>
  <si>
    <t xml:space="preserve"> €/m³ stacked</t>
  </si>
  <si>
    <t>Price level indices</t>
  </si>
  <si>
    <t>Price level index</t>
  </si>
  <si>
    <t>Investment cost factor</t>
  </si>
  <si>
    <t>SaveEnergyTogether</t>
  </si>
  <si>
    <t>Cost Benefit Assessement Tool for assessing local and over-regional energy saving campaigns</t>
  </si>
  <si>
    <t>The purpose of this tool is to assess the effects of simple energy efficiency measures implemented in the residential housing sector through an energy-saving campaign.</t>
  </si>
  <si>
    <t>It will assess both the associated costs and benefits from the perspective of individual homeowners and institutional campaign implementers (Cost Benefit Assessment, or CBA).</t>
  </si>
  <si>
    <t>The CBA for individual homes is based on microeconomic principles (e.g. measure x pays off within y years) and shows individual environmental impacts.</t>
  </si>
  <si>
    <t>The campaign implementers' CBA includes campaign costs and wider macroeconomic, societal and environmental aspects (economic welfare).</t>
  </si>
  <si>
    <t>Implementing individual CBAs begins with defining four different residential home types that represent typical buildings in the campaign area.</t>
  </si>
  <si>
    <t>Main model homes' characteristics</t>
  </si>
  <si>
    <t>Help</t>
  </si>
  <si>
    <t>Parameter</t>
  </si>
  <si>
    <t>Input Values</t>
  </si>
  <si>
    <t>Remark/Reference Value</t>
  </si>
  <si>
    <t>Building type</t>
  </si>
  <si>
    <t>Thermal quality status of the building</t>
  </si>
  <si>
    <t>Gross floor area (GFA)</t>
  </si>
  <si>
    <t>m²</t>
  </si>
  <si>
    <t>GFA, incl. walls</t>
  </si>
  <si>
    <t>Heated gross floor area (GFA)</t>
  </si>
  <si>
    <t>Heated floor space</t>
  </si>
  <si>
    <t>excl. wall thickness</t>
  </si>
  <si>
    <t>Number of storeys</t>
  </si>
  <si>
    <t>#</t>
  </si>
  <si>
    <t>Room height, interior</t>
  </si>
  <si>
    <t>m</t>
  </si>
  <si>
    <t>Interior volume of the building</t>
  </si>
  <si>
    <t>m³</t>
  </si>
  <si>
    <t>Floor/ceiling plan area, gross</t>
  </si>
  <si>
    <t>Number of homes/apartments</t>
  </si>
  <si>
    <t>Number of homes/apartments with a uppermost ceiling</t>
  </si>
  <si>
    <t>Number of persons per home/apartment</t>
  </si>
  <si>
    <t>Heated gross floor area per home/apartment</t>
  </si>
  <si>
    <t>Space heat (SPH) demand</t>
  </si>
  <si>
    <t>Input Values &amp; interim results</t>
  </si>
  <si>
    <t>Space Heat (SPH) consumption</t>
  </si>
  <si>
    <t>Useful space heat (SPH) demand (see, e.g. Energy Performance Certificate)</t>
  </si>
  <si>
    <t>kWh/m².a</t>
  </si>
  <si>
    <t>see e.g. building typology from EU project Tabula</t>
  </si>
  <si>
    <t xml:space="preserve">https://webtool.building-typology.eu/#bm </t>
  </si>
  <si>
    <t>Standard interior temperature</t>
  </si>
  <si>
    <t>°C</t>
  </si>
  <si>
    <t>based on national Energy Performance Certificate standards</t>
  </si>
  <si>
    <t>Average outdoor temperature during heating season</t>
  </si>
  <si>
    <t>Internal space heat distribution losses</t>
  </si>
  <si>
    <t>%</t>
  </si>
  <si>
    <t>losses from heater to heat dissipation system, with or without central storage</t>
  </si>
  <si>
    <t>Useful space heat (SPH) demand</t>
  </si>
  <si>
    <t>kWh/a</t>
  </si>
  <si>
    <t>Annual energy conversion efficiency of main heating system</t>
  </si>
  <si>
    <t>SPF</t>
  </si>
  <si>
    <t>Seasonal Perfomance Factor</t>
  </si>
  <si>
    <t>Final energy consumption for SPH</t>
  </si>
  <si>
    <t>Campaign outreach</t>
  </si>
  <si>
    <t>Number of homes - activated / verified</t>
  </si>
  <si>
    <t>Household types - share of 4 model homes</t>
  </si>
  <si>
    <t>related to number of homes</t>
  </si>
  <si>
    <t>Distribution of main space heating fuels - centralized heat generation</t>
  </si>
  <si>
    <t>Domestic hot water (DHW) demand</t>
  </si>
  <si>
    <t>Toilet flushing: 40 litres</t>
  </si>
  <si>
    <t>Laundry: 15 litres</t>
  </si>
  <si>
    <t>Cooking and drinking: 3 litres</t>
  </si>
  <si>
    <t>DHW treatment useful energy demand assumptions</t>
  </si>
  <si>
    <t>Garden watering: 5 litres</t>
  </si>
  <si>
    <t>Average groundwater temperature, annually</t>
  </si>
  <si>
    <t>Average tap water supply temperature</t>
  </si>
  <si>
    <t xml:space="preserve">https://www.wien.gv.at/umwelt/wasserverbrauch-haushalt-taeglich </t>
  </si>
  <si>
    <t>Water demand of dish washer (cold water)</t>
  </si>
  <si>
    <t>l/person.day</t>
  </si>
  <si>
    <t>2 to 3</t>
  </si>
  <si>
    <t>https://www.holding-graz.at/de/wasserverbrauch-in-oesterreich/</t>
  </si>
  <si>
    <t>Washing dishes: 6 litres</t>
  </si>
  <si>
    <t>Water demand for hot tap water (undersink dish washing in kitchen)</t>
  </si>
  <si>
    <t>Water demand for hot tap water (hand washing in bath and kitchen)</t>
  </si>
  <si>
    <t>Personal hygiene: 9 litres</t>
  </si>
  <si>
    <t>Water demand for showering</t>
  </si>
  <si>
    <t>liter/min</t>
  </si>
  <si>
    <t>min/shower</t>
  </si>
  <si>
    <t>showers/day.person</t>
  </si>
  <si>
    <t>https://www.umweltfoerderung.at/fileadmin/user_upload/media/umweltfoerderung/Dokumente_Betriebe/Wasser_Betriebe/Studien_Wasserwirtschaft/Wasserverbrauchin_Oesterreich.pdf</t>
  </si>
  <si>
    <t>Water demand for bathing</t>
  </si>
  <si>
    <t>liter/bath</t>
  </si>
  <si>
    <t>bathes/day.person</t>
  </si>
  <si>
    <t>Showering, bathing: 44 litres</t>
  </si>
  <si>
    <t>Total domestic hot water demand</t>
  </si>
  <si>
    <t xml:space="preserve">https://www.umweltberatung.at/download/?id=warmes-wasser-3073-umweltberatung.pdf </t>
  </si>
  <si>
    <t>Total DHW demand</t>
  </si>
  <si>
    <t>m³/a</t>
  </si>
  <si>
    <t>Specific heat capacity of water</t>
  </si>
  <si>
    <t>kJ/(kg.K)</t>
  </si>
  <si>
    <t>Useful energy demand for DHW treatment</t>
  </si>
  <si>
    <t>Page 11 of 56</t>
  </si>
  <si>
    <t xml:space="preserve">https://www.digital.wienbibliothek.at/wbrup/download/pdf/3598188?originalFilename=true </t>
  </si>
  <si>
    <t>Losses</t>
  </si>
  <si>
    <t>2-pipe system</t>
  </si>
  <si>
    <t>4-pipe system</t>
  </si>
  <si>
    <t>Delivery loss</t>
  </si>
  <si>
    <t>Distribution losses with centralised heat generation</t>
  </si>
  <si>
    <t>Storage losses</t>
  </si>
  <si>
    <t>Useful heat demand including losses up to heat generator</t>
  </si>
  <si>
    <t>Centralised heat generation and distribution with DHW storage</t>
  </si>
  <si>
    <t>Final energy for DHW treatment with centralized heater + DHW storage</t>
  </si>
  <si>
    <t>Direct-electricity system (without central distribution and storage)</t>
  </si>
  <si>
    <t>Space heat &amp; domestic hot water treatment final energy demand</t>
  </si>
  <si>
    <t>Interim results</t>
  </si>
  <si>
    <t>Final energy demand for SPH + DHW with centralized heater + storage</t>
  </si>
  <si>
    <t xml:space="preserve">Direct (burning) + indirect (upstream, downstream) GHG emissions in CO2e emissions; Carbon dioxide (CO2) serves as a reference gas for the consideration of all other relevant greenhouse gases (CO2-equivalent) such as methane and nitrous oxide. </t>
  </si>
  <si>
    <t>g/kWh</t>
  </si>
  <si>
    <t>Austrian greenhouse gas emission factors, Umweltbundesamt, REP-0888, 2023</t>
  </si>
  <si>
    <t>SüdSan 
Sozialverträgliche und klimazielkompatible Sanierung zweier Mehrfamilienhäuser als Modell für die Sanierung der Südtiroler-Siedlung Bludenz</t>
  </si>
  <si>
    <t>Oct</t>
  </si>
  <si>
    <t>Nov</t>
  </si>
  <si>
    <t>OIB Richtlinie 6, excl. Indirect emissions</t>
  </si>
  <si>
    <t>Dec</t>
  </si>
  <si>
    <t>Austrian greenhouse gas emission factors, Umweltbundesamt, REP-0888, 2022</t>
  </si>
  <si>
    <t>Jan</t>
  </si>
  <si>
    <t>Feb</t>
  </si>
  <si>
    <t>Mar</t>
  </si>
  <si>
    <t>Austrian greenhouse gas emission factors, Umweltbundesamt, REP-0888, 2024</t>
  </si>
  <si>
    <t>SüdSan &amp; OIB Richtlinie 6, 2019, excl. Indirect emissions</t>
  </si>
  <si>
    <t>Final energy, energy carrier prices, incl. VAT</t>
  </si>
  <si>
    <t>Overall SPH price for DH, specific</t>
  </si>
  <si>
    <t>Source</t>
  </si>
  <si>
    <t>Date</t>
  </si>
  <si>
    <t>Basic DH price, specific</t>
  </si>
  <si>
    <t>€/(m².a)</t>
  </si>
  <si>
    <t>https://waermepreise.at/tarifuebersicht/#/tarif/3996</t>
  </si>
  <si>
    <t>https://www.ganz-wien.at/immobilien-wohnen/energie/fernwaerme-kosten.html</t>
  </si>
  <si>
    <t>Basic DH price, annually</t>
  </si>
  <si>
    <t>€/a</t>
  </si>
  <si>
    <t>https://waermepreise.at/tarifuebersicht/#/tarif/3524</t>
  </si>
  <si>
    <t>DH working price, specific</t>
  </si>
  <si>
    <t>https://waermepreise.at/tarifuebersicht/#/tarif/3525</t>
  </si>
  <si>
    <t>DH metering price , annually</t>
  </si>
  <si>
    <t>DHW price for DH, specific</t>
  </si>
  <si>
    <t>€/m³</t>
  </si>
  <si>
    <t>Wien Energie</t>
  </si>
  <si>
    <t xml:space="preserve">https://www.statistik.at/statistiken/land-und-forstwirtschaft/land-und-forstwirtschaftliche-oekonomie-und-preise/erzeugerpreise </t>
  </si>
  <si>
    <t>humidity</t>
  </si>
  <si>
    <t>kWh/m³ stacked</t>
  </si>
  <si>
    <t>propellets.at; 6 to</t>
  </si>
  <si>
    <t>Jan 2025</t>
  </si>
  <si>
    <t>https://www.idealo.de/preisvergleich/OffersOfProduct/202048716_-braunkohlebriketts-40-x-25kg-auf-palette-rekord-briketts.html</t>
  </si>
  <si>
    <t>MWh/t</t>
  </si>
  <si>
    <t>vergleichsportal.arbeiterkammer.at/preisvergleich/brennstoffe/fluessiggas</t>
  </si>
  <si>
    <t>3000 liter</t>
  </si>
  <si>
    <t>kg/l</t>
  </si>
  <si>
    <t>kWh/kg</t>
  </si>
  <si>
    <t>kWh/l</t>
  </si>
  <si>
    <t>fastenergy.at, plz 3100, 3 u 10 m³</t>
  </si>
  <si>
    <t>https://www.e-control.at/tarifkalkulator#, plz 3100</t>
  </si>
  <si>
    <t>electricity price, excl. heat pump</t>
  </si>
  <si>
    <t>electricity price, incl. heat pump</t>
  </si>
  <si>
    <t>Household electricity demand for eDevices only</t>
  </si>
  <si>
    <t>Household electricity demand for eDevices + SPH &amp; DHW with HP</t>
  </si>
  <si>
    <t>Price of final energy consumption for SPH, 1st year</t>
  </si>
  <si>
    <t>€/a.apartment</t>
  </si>
  <si>
    <t>Price Escalation rates, final energy costs (incl. VAT)</t>
  </si>
  <si>
    <t>% p.a.</t>
  </si>
  <si>
    <t>WACC, private</t>
  </si>
  <si>
    <t>Social discount rate</t>
  </si>
  <si>
    <t>Inflation</t>
  </si>
  <si>
    <t>Green house gas shadow prices</t>
  </si>
  <si>
    <t>Source: Economic Appraisal Vademecum 2021-2027 - General Principles and Sector Applications</t>
  </si>
  <si>
    <t xml:space="preserve">https://ec.europa.eu/regional_policy/en/information/publications/guides/2021/economic-appraisal-vademecum-2021-2027-general-principles-and-sector-applications </t>
  </si>
  <si>
    <t>Nominal</t>
  </si>
  <si>
    <t>NPV</t>
  </si>
  <si>
    <t>NPV-factor</t>
  </si>
  <si>
    <t>Year</t>
  </si>
  <si>
    <t>€/t CO2e</t>
  </si>
  <si>
    <t>Avoided social costs of GHG-emissions (net present values)</t>
  </si>
  <si>
    <t>Life time of intervention</t>
  </si>
  <si>
    <t>NPV over lifetime</t>
  </si>
  <si>
    <t>EMEP/EEA air pollutant emission inventory guidebook 2023</t>
  </si>
  <si>
    <t>https://efdb.apps.eea.europa.eu</t>
  </si>
  <si>
    <t>Public electricity and heat production</t>
  </si>
  <si>
    <t>Air pollutant emission factors</t>
  </si>
  <si>
    <t>SOx</t>
  </si>
  <si>
    <t>NOX</t>
  </si>
  <si>
    <t>PM10+PM2.5</t>
  </si>
  <si>
    <t>NMVOC</t>
  </si>
  <si>
    <t>g/GJ</t>
  </si>
  <si>
    <t>no data available, assumption</t>
  </si>
  <si>
    <t>Primary energy carriers in the el. generation mix - public electricity grid</t>
  </si>
  <si>
    <t xml:space="preserve">Direct emission factor </t>
  </si>
  <si>
    <t>GenerationShares, 2024</t>
  </si>
  <si>
    <t>Energy conversion output, 2024</t>
  </si>
  <si>
    <t>https://www.statistik.at/statistiken/energie-und-umwelt/energie/energiebilanzen</t>
  </si>
  <si>
    <t>TJ</t>
  </si>
  <si>
    <t>t CO2/TJ</t>
  </si>
  <si>
    <t>Standardfaktoren für Brennstoffe aus der nationalen Treibhausgasinventur zur Anwendung für die Ebene 2a in Österreich</t>
  </si>
  <si>
    <t>t CO2e/TJ</t>
  </si>
  <si>
    <t>t CO2</t>
  </si>
  <si>
    <t>Energy conversion output, electricity</t>
  </si>
  <si>
    <t>av. gen. efficiency</t>
  </si>
  <si>
    <t>Overall EMF</t>
  </si>
  <si>
    <t>t CO2/GWh = g CO2/kWh</t>
  </si>
  <si>
    <t>Primary energy carriers in the DH generation mix - public district heating grid</t>
  </si>
  <si>
    <t>Energy conversion input</t>
  </si>
  <si>
    <t>Old tyres</t>
  </si>
  <si>
    <t>Energy conversion output, district heat</t>
  </si>
  <si>
    <t>enefirst D3.4 Impact Assessment Handbook</t>
  </si>
  <si>
    <t>https://enefirst.eu/wp-content/uploads/D3.4_MultipleImpactAssessment.pdf</t>
  </si>
  <si>
    <t>SO2</t>
  </si>
  <si>
    <t>PM</t>
  </si>
  <si>
    <t>p 34</t>
  </si>
  <si>
    <t>Lignite</t>
  </si>
  <si>
    <t>Oil</t>
  </si>
  <si>
    <t>Health damage cost rates by emission source, type and receptor</t>
  </si>
  <si>
    <t>Energy supply (electricity, district heating)</t>
  </si>
  <si>
    <t>Direct combustion in buildings, industry, transport</t>
  </si>
  <si>
    <t>2020 min</t>
  </si>
  <si>
    <t>€2018/t</t>
  </si>
  <si>
    <t>2020 max</t>
  </si>
  <si>
    <t>2050 min</t>
  </si>
  <si>
    <t>2050 max</t>
  </si>
  <si>
    <t>2020 average</t>
  </si>
  <si>
    <t>Health damage cost rates - net present values - by emission source, type and receptor</t>
  </si>
  <si>
    <t>2026 value-protected</t>
  </si>
  <si>
    <t>Health damage cost rates - nominal values - by emission source, type and receptor</t>
  </si>
  <si>
    <t>Avoided social health costs of air pollutants (net present values)</t>
  </si>
  <si>
    <t>Data extracted on 05/03/2026 13:14:03 from [ESTAT]</t>
  </si>
  <si>
    <t xml:space="preserve">Dataset: </t>
  </si>
  <si>
    <t>Production of electricity and derived heat by type of fuel [nrg_bal_peh__custom_20388087]</t>
  </si>
  <si>
    <t xml:space="preserve">Last updated: </t>
  </si>
  <si>
    <t>25/02/2026 23:00</t>
  </si>
  <si>
    <t>Time frequency</t>
  </si>
  <si>
    <t>Annual</t>
  </si>
  <si>
    <t>Unit of measure</t>
  </si>
  <si>
    <t>Terajoule</t>
  </si>
  <si>
    <t>Time</t>
  </si>
  <si>
    <t>2024</t>
  </si>
  <si>
    <t>Long List</t>
  </si>
  <si>
    <t>Short List</t>
  </si>
  <si>
    <t>GEO (Labels)</t>
  </si>
  <si>
    <t>Gross electricity production</t>
  </si>
  <si>
    <t>NRG_BAL (Labels)</t>
  </si>
  <si>
    <t>SIEC (Labels)</t>
  </si>
  <si>
    <t/>
  </si>
  <si>
    <t>Transformation Output per Energy Carrier [TJ]</t>
  </si>
  <si>
    <t>Energy carriers [%]</t>
  </si>
  <si>
    <t>Solid fossil fuels</t>
  </si>
  <si>
    <t>Aggregate</t>
  </si>
  <si>
    <t>Anthracite</t>
  </si>
  <si>
    <t>Coking coal</t>
  </si>
  <si>
    <t>Other bituminous coal</t>
  </si>
  <si>
    <t>Sub-bituminous coal</t>
  </si>
  <si>
    <t>Coke oven coke</t>
  </si>
  <si>
    <t>Gas coke</t>
  </si>
  <si>
    <t>nr</t>
  </si>
  <si>
    <t>Patent fuel</t>
  </si>
  <si>
    <t>Coal tar</t>
  </si>
  <si>
    <t>Manufactured gases</t>
  </si>
  <si>
    <t>Check</t>
  </si>
  <si>
    <t>Coke oven gas</t>
  </si>
  <si>
    <t>Gas works gas</t>
  </si>
  <si>
    <t>Blast furnace gas</t>
  </si>
  <si>
    <t>Heat</t>
  </si>
  <si>
    <t>Other recovered gases</t>
  </si>
  <si>
    <t>Peat</t>
  </si>
  <si>
    <t>Peat and peat products</t>
  </si>
  <si>
    <t>Peat products</t>
  </si>
  <si>
    <t>Oil shale and oil sands</t>
  </si>
  <si>
    <t>Oil and petroleum products (excluding biofuel portion)</t>
  </si>
  <si>
    <t>Gross heat production</t>
  </si>
  <si>
    <t>Crude oil</t>
  </si>
  <si>
    <t>Natural gas liquids</t>
  </si>
  <si>
    <t>Refinery feedstocks</t>
  </si>
  <si>
    <t>Additives and oxygenates (excluding biofuel portion)</t>
  </si>
  <si>
    <t>Other hydrocarbons</t>
  </si>
  <si>
    <t>Refinery gas</t>
  </si>
  <si>
    <t>Ethane</t>
  </si>
  <si>
    <t>Liquefied petroleum gases</t>
  </si>
  <si>
    <t>Naphtha</t>
  </si>
  <si>
    <t>Aviation gasoline</t>
  </si>
  <si>
    <t>Motor gasoline (excluding biofuel portion)</t>
  </si>
  <si>
    <t>Gasoline-type jet fuel</t>
  </si>
  <si>
    <t>Kerosene-type jet fuel (excluding biofuel portion)</t>
  </si>
  <si>
    <t>Other kerosene</t>
  </si>
  <si>
    <t>Gas oil and diesel oil (excluding biofuel portion)</t>
  </si>
  <si>
    <t>White spirit and special boiling point industrial spirits</t>
  </si>
  <si>
    <t>Lubricants</t>
  </si>
  <si>
    <t>Paraffin waxes</t>
  </si>
  <si>
    <t>Petroleum coke</t>
  </si>
  <si>
    <t>Bitumen</t>
  </si>
  <si>
    <t>Other oil products n.e.c.</t>
  </si>
  <si>
    <t>Renewables and biofuels</t>
  </si>
  <si>
    <t>Hydro</t>
  </si>
  <si>
    <t>Pumped hydro power</t>
  </si>
  <si>
    <t>Wind</t>
  </si>
  <si>
    <t>Solar photovoltaic</t>
  </si>
  <si>
    <t>Tide, wave, ocean</t>
  </si>
  <si>
    <t>Ambient heat (heat pumps)</t>
  </si>
  <si>
    <t>Primary solid biofuels</t>
  </si>
  <si>
    <t>Charcoal</t>
  </si>
  <si>
    <t>Pure biogasoline</t>
  </si>
  <si>
    <t>Blended biogasoline</t>
  </si>
  <si>
    <t>Pure biodiesels</t>
  </si>
  <si>
    <t>Blended biodiesels</t>
  </si>
  <si>
    <t>Pure bio jet kerosene</t>
  </si>
  <si>
    <t>Blended bio jet kerosene</t>
  </si>
  <si>
    <t>Other liquid biofuels</t>
  </si>
  <si>
    <t>Biogases</t>
  </si>
  <si>
    <t>Industrial waste (non-renewable)</t>
  </si>
  <si>
    <t>Renewable municipal waste</t>
  </si>
  <si>
    <t>Non-renewable municipal waste</t>
  </si>
  <si>
    <t>Non-renewable waste</t>
  </si>
  <si>
    <t>Nuclear heat</t>
  </si>
  <si>
    <t>Other fuels n.e.c.</t>
  </si>
  <si>
    <t>Batteries</t>
  </si>
  <si>
    <t>Bioenergy</t>
  </si>
  <si>
    <t>Fossil energy</t>
  </si>
  <si>
    <t>Reduction of SPH cosumption - Improved heating behaviour</t>
  </si>
  <si>
    <t>Temperature correction factors depending on the heating behaviour</t>
  </si>
  <si>
    <t>Austrian energy handbook for building energy adivsers</t>
  </si>
  <si>
    <t>Actual interior temperature</t>
  </si>
  <si>
    <t>p 109</t>
  </si>
  <si>
    <t>Correction factor for interior temperature</t>
  </si>
  <si>
    <t>Number of holiday weeks with temperature reduction</t>
  </si>
  <si>
    <t>Correction factor for vacation absence</t>
  </si>
  <si>
    <t>building fabric</t>
  </si>
  <si>
    <t>text</t>
  </si>
  <si>
    <t>solid</t>
  </si>
  <si>
    <t>medium</t>
  </si>
  <si>
    <t>light</t>
  </si>
  <si>
    <t>Correction factor for night setback (depending on the building fabric)</t>
  </si>
  <si>
    <t>Number of unheated rooms</t>
  </si>
  <si>
    <t>Correction factor for partial heating</t>
  </si>
  <si>
    <t>Estimation of the average room temperature for the specified usage behaviour</t>
  </si>
  <si>
    <t>Savings of useful space heat</t>
  </si>
  <si>
    <t>Final heat savings per degree reduction</t>
  </si>
  <si>
    <t>Estimated ratio of final to useful space heat</t>
  </si>
  <si>
    <t>Estimated savings of useful energy</t>
  </si>
  <si>
    <t>Calculated savings of useful energy, triggered by this measure</t>
  </si>
  <si>
    <t>Reduction of Final energy consumption for SPH, total</t>
  </si>
  <si>
    <t>Average</t>
  </si>
  <si>
    <t>Average beneficial only</t>
  </si>
  <si>
    <t>Avoided heat losses, relative to total final energy SPH demand</t>
  </si>
  <si>
    <t>Individual implementation costs - smart thermostats</t>
  </si>
  <si>
    <t>SFH</t>
  </si>
  <si>
    <t>AH</t>
  </si>
  <si>
    <t>Time to get informed on intervention type</t>
  </si>
  <si>
    <t>hours</t>
  </si>
  <si>
    <t>3 to 4</t>
  </si>
  <si>
    <t>Time to search for materials &amp; prices at DIY stores</t>
  </si>
  <si>
    <t>Total information and search time</t>
  </si>
  <si>
    <t>Total DIY implementation time</t>
  </si>
  <si>
    <t>4 to 5</t>
  </si>
  <si>
    <t>Total info, collection and implementation time</t>
  </si>
  <si>
    <t>Opportunity costs of lost leisure time</t>
  </si>
  <si>
    <t>€/h</t>
  </si>
  <si>
    <t>10-40</t>
  </si>
  <si>
    <t>depending on income, priorities, personal goals and the alternatives (e.g. overtime) available</t>
  </si>
  <si>
    <t>Total DIY costs</t>
  </si>
  <si>
    <t>Costs of complete equipment with smart thermostats</t>
  </si>
  <si>
    <t>400  to 600</t>
  </si>
  <si>
    <t>300 to 500</t>
  </si>
  <si>
    <t>smart thermostates</t>
  </si>
  <si>
    <t>Material costs</t>
  </si>
  <si>
    <t xml:space="preserve">Euro </t>
  </si>
  <si>
    <t>Total up-front investment</t>
  </si>
  <si>
    <t>Maintenance and servicing costs, first year</t>
  </si>
  <si>
    <t>€/year</t>
  </si>
  <si>
    <t>20 to 30</t>
  </si>
  <si>
    <t>Cost of batteries and App etc.</t>
  </si>
  <si>
    <t>Price escalation rate M&amp;S costs</t>
  </si>
  <si>
    <t>Present value factor, private perspective</t>
  </si>
  <si>
    <t>Maintenance and servicing costs, annuity</t>
  </si>
  <si>
    <t>Lifetime of the intervention</t>
  </si>
  <si>
    <t>years</t>
  </si>
  <si>
    <t>10 to 15</t>
  </si>
  <si>
    <t>a</t>
  </si>
  <si>
    <t>Energy Cost Savings, 1st year</t>
  </si>
  <si>
    <t>cost savings refer to DH working price component only</t>
  </si>
  <si>
    <t>Energy Cost Savings, annuity</t>
  </si>
  <si>
    <t>Results per home</t>
  </si>
  <si>
    <t>Static pay-back time</t>
  </si>
  <si>
    <t>Intervention is beneficial</t>
  </si>
  <si>
    <t>Dynamic pay-back time</t>
  </si>
  <si>
    <t>Avoided greenhouse gas emissions</t>
  </si>
  <si>
    <t>Avoided SO2 polutant emissions</t>
  </si>
  <si>
    <t>Avoided NOx polutant emissions</t>
  </si>
  <si>
    <t>Avoided PM polutant emissions</t>
  </si>
  <si>
    <t>Avoided NMVOC polutant emissions</t>
  </si>
  <si>
    <t>t CO2e p.a.</t>
  </si>
  <si>
    <t>t SO2 p.a.</t>
  </si>
  <si>
    <t>t NOx p.a.</t>
  </si>
  <si>
    <t>t PM p.a.</t>
  </si>
  <si>
    <t>t NMVOC p.a.</t>
  </si>
  <si>
    <t>Avoided social health costs of SO2-emissions (net present values)</t>
  </si>
  <si>
    <t>Avoided social health costs of NOx-emissions (net present values)</t>
  </si>
  <si>
    <t>Avoided social health costs of PM-emissions (net present values)</t>
  </si>
  <si>
    <t>Avoided social health costs of NMVOC-emissions (net present values)</t>
  </si>
  <si>
    <t>€/a.home</t>
  </si>
  <si>
    <t>Avoided social health costs of other air pollutant emissions (net present values)</t>
  </si>
  <si>
    <t>Present value factor, social/public perspective</t>
  </si>
  <si>
    <t>Overview of apartements with Reduction of SPH consumption by an Improved heating behaviour</t>
  </si>
  <si>
    <t>nr of flats</t>
  </si>
  <si>
    <t>Total final energy savings during lifetime</t>
  </si>
  <si>
    <t>kWh</t>
  </si>
  <si>
    <t>Energy Cost Savings during lifetime, net present value</t>
  </si>
  <si>
    <t>Total avoided greenhouse gas emissions during lifetime</t>
  </si>
  <si>
    <t>t CO2e</t>
  </si>
  <si>
    <t>Avoided social costs of GHG-emissions during lifetime (net present values)</t>
  </si>
  <si>
    <t>Avoided other air pollutant emissions (SO2, NOx, PM, NMVOC)</t>
  </si>
  <si>
    <t>t p.a.</t>
  </si>
  <si>
    <t xml:space="preserve">Avoided other air pollutant emissions (SO2, NOx, PM, NMVOC) during lifetime </t>
  </si>
  <si>
    <t>t</t>
  </si>
  <si>
    <t>Avoided social health costs of other air pollutant emissions during lifetime (net present value)</t>
  </si>
  <si>
    <t>Reduction of infiltration and exfiltration losses - sealing gaps, cracks, and drafts around windows and doors to eliminate heat leaks</t>
  </si>
  <si>
    <t>heating capacity of air at ambient temperature (from -50 to 60oC)</t>
  </si>
  <si>
    <t>J/kg.K</t>
  </si>
  <si>
    <t>density of air at ambient temperature</t>
  </si>
  <si>
    <t>kg/m³</t>
  </si>
  <si>
    <t>Typical air changes per hour (ACH)</t>
  </si>
  <si>
    <t>air-tight large new buildings</t>
  </si>
  <si>
    <t>0.1 to 0.2</t>
  </si>
  <si>
    <t>1/h</t>
  </si>
  <si>
    <t>(floor area &gt;10.000 m2)</t>
  </si>
  <si>
    <t>air change per hour (ACH)</t>
  </si>
  <si>
    <t>see box on the right</t>
  </si>
  <si>
    <t>smaller buildings</t>
  </si>
  <si>
    <t>0.2 to 0.3</t>
  </si>
  <si>
    <t>air change per hour for the model homes</t>
  </si>
  <si>
    <t>m³/h.flat</t>
  </si>
  <si>
    <t>old buildings</t>
  </si>
  <si>
    <t>0.5 to 1.0</t>
  </si>
  <si>
    <t>mass flow rate of air</t>
  </si>
  <si>
    <t>kg/s</t>
  </si>
  <si>
    <t>thermal losses by infiltration and exfiltration</t>
  </si>
  <si>
    <t>W</t>
  </si>
  <si>
    <t>Annual full load hours of heat provision</t>
  </si>
  <si>
    <t>h/a</t>
  </si>
  <si>
    <t>reduction of thermal losses from in- &amp; exfiltration by sealing measures</t>
  </si>
  <si>
    <t>Avoided transmission heat losses, relative to total final energy SPH demand</t>
  </si>
  <si>
    <t>Individual implementation costs</t>
  </si>
  <si>
    <t>Number of doors, in heated areas</t>
  </si>
  <si>
    <t>3 to 6</t>
  </si>
  <si>
    <t>1 to 4</t>
  </si>
  <si>
    <t>depending on whether there are terraces or balconies</t>
  </si>
  <si>
    <t>Number of windows, in heated areas</t>
  </si>
  <si>
    <t>8 to 15</t>
  </si>
  <si>
    <t>Number of items, where heat leaks are to be avoided</t>
  </si>
  <si>
    <t>2 to 4</t>
  </si>
  <si>
    <t>Time required for initial DIY trial (2 items)</t>
  </si>
  <si>
    <t>Cleaning, cutting and fitting the seal</t>
  </si>
  <si>
    <t>Time required for DIY replication per item</t>
  </si>
  <si>
    <t>min/unit</t>
  </si>
  <si>
    <t>30 to 60</t>
  </si>
  <si>
    <t>Items left for DIY replication</t>
  </si>
  <si>
    <t>units</t>
  </si>
  <si>
    <t>Total implementation time</t>
  </si>
  <si>
    <t>Sealing material costs per door</t>
  </si>
  <si>
    <t>€/item</t>
  </si>
  <si>
    <t>30 to 80</t>
  </si>
  <si>
    <t>Sealing material costs per window</t>
  </si>
  <si>
    <t>20 to 50</t>
  </si>
  <si>
    <t>of investment</t>
  </si>
  <si>
    <t>8 to 10</t>
  </si>
  <si>
    <t>Overview of apartements with sealed gaps, cracks, and drafts around windows and doors to eliminate heat leaks</t>
  </si>
  <si>
    <t>Total investment of participating households</t>
  </si>
  <si>
    <t>Total avoided greenhouse gas emissions during livetime</t>
  </si>
  <si>
    <t xml:space="preserve">t CO2e </t>
  </si>
  <si>
    <t>Reduction of Space Heat distribution losses - insulation of pipes and fittings</t>
  </si>
  <si>
    <t>Length and composition of the pipework to be insulated</t>
  </si>
  <si>
    <t>Length of pipework to be insulated</t>
  </si>
  <si>
    <t>12 to 18</t>
  </si>
  <si>
    <t>ADENE, estimation</t>
  </si>
  <si>
    <t>Number of uninsulated fittings in the relevant pipe sections</t>
  </si>
  <si>
    <t>Equivalent additional uninsulated pipe length</t>
  </si>
  <si>
    <t>Equivalent length of pipework to be insulated</t>
  </si>
  <si>
    <t>Pipe materials and diameters</t>
  </si>
  <si>
    <t>Thermal conductivity</t>
  </si>
  <si>
    <t>Pipe diameters</t>
  </si>
  <si>
    <t>inner ø</t>
  </si>
  <si>
    <t>outer ø</t>
  </si>
  <si>
    <t>W/(m·K)</t>
  </si>
  <si>
    <t>Copper</t>
  </si>
  <si>
    <t>DN 12</t>
  </si>
  <si>
    <t>mm</t>
  </si>
  <si>
    <t>Inner diameter</t>
  </si>
  <si>
    <t>Steel</t>
  </si>
  <si>
    <t>DN 16</t>
  </si>
  <si>
    <t>Outer diameter</t>
  </si>
  <si>
    <t>Aluminium composite</t>
  </si>
  <si>
    <t>DN 20</t>
  </si>
  <si>
    <t>Heat losses from the uninsulated hot water pipe</t>
  </si>
  <si>
    <t>Temperature of the hot water (flow temperature)</t>
  </si>
  <si>
    <t>Temperature in the area of the uninsulated pipework</t>
  </si>
  <si>
    <t>minimum thickness of the pipe insulation</t>
  </si>
  <si>
    <t>W/m</t>
  </si>
  <si>
    <t>up to DN22, min</t>
  </si>
  <si>
    <t>Heat losses from the insulated hot water pipe</t>
  </si>
  <si>
    <t>DN22 to 35, min</t>
  </si>
  <si>
    <t>Thermal conductivity of the insulation material</t>
  </si>
  <si>
    <t>DN35 to 100, min</t>
  </si>
  <si>
    <t>DN</t>
  </si>
  <si>
    <t>thermal conductivity of the building material layer</t>
  </si>
  <si>
    <t>Thickness of the pipe insulation</t>
  </si>
  <si>
    <t>from DN100 min</t>
  </si>
  <si>
    <t>Mineral wool (glass wool)</t>
  </si>
  <si>
    <t>0.032 – 0.040</t>
  </si>
  <si>
    <t>Mineral wool (rock wool)</t>
  </si>
  <si>
    <t>0.035 – 0.045</t>
  </si>
  <si>
    <t>Savings of useful energy</t>
  </si>
  <si>
    <t>Polystyrene (EPS)</t>
  </si>
  <si>
    <t>Operation time of hot water distritbution</t>
  </si>
  <si>
    <t>Polystyrene (XPS)</t>
  </si>
  <si>
    <t>0.027 – 0.035</t>
  </si>
  <si>
    <t>Theoretical savings of useful energy</t>
  </si>
  <si>
    <t>Polyurethane (PUR/PIR)</t>
  </si>
  <si>
    <t>0.026 – 0.028</t>
  </si>
  <si>
    <t>Max. reduction of existing distribution losses</t>
  </si>
  <si>
    <t>70 to 75</t>
  </si>
  <si>
    <t>1 to 2</t>
  </si>
  <si>
    <t>1 to 3</t>
  </si>
  <si>
    <t>Cleaning, cutting and fitting the insultation</t>
  </si>
  <si>
    <t>60-90</t>
  </si>
  <si>
    <t>Insultation material costs</t>
  </si>
  <si>
    <t>€/m</t>
  </si>
  <si>
    <t>2 to 10</t>
  </si>
  <si>
    <t>€/year.flat</t>
  </si>
  <si>
    <t>Overview of apartements with Reduction of SPH distribution losses</t>
  </si>
  <si>
    <t>Reduction of transmission losses - insulation of the uppermost ceiling</t>
  </si>
  <si>
    <t>thermal quality of the building</t>
  </si>
  <si>
    <t>U-Value</t>
  </si>
  <si>
    <t>uppermost ceiling</t>
  </si>
  <si>
    <r>
      <rPr>
        <b/>
        <sz val="10"/>
        <color theme="1" tint="0.34998626667073579"/>
        <rFont val="Segoe UI"/>
        <family val="2"/>
      </rPr>
      <t>Existing U-value</t>
    </r>
    <r>
      <rPr>
        <sz val="10"/>
        <color theme="1" tint="0.34998626667073579"/>
        <rFont val="Segoe UI"/>
        <family val="2"/>
      </rPr>
      <t xml:space="preserve"> (thermal transmittance) of uppermost ceiling</t>
    </r>
  </si>
  <si>
    <r>
      <t>W/m</t>
    </r>
    <r>
      <rPr>
        <vertAlign val="superscript"/>
        <sz val="10"/>
        <color theme="1" tint="0.34998626667073579"/>
        <rFont val="Segoe UI"/>
        <family val="2"/>
      </rPr>
      <t>2</t>
    </r>
    <r>
      <rPr>
        <sz val="10"/>
        <color theme="1" tint="0.34998626667073579"/>
        <rFont val="Segoe UI"/>
        <family val="2"/>
      </rPr>
      <t>.K</t>
    </r>
  </si>
  <si>
    <t>excellent</t>
  </si>
  <si>
    <r>
      <rPr>
        <b/>
        <sz val="10"/>
        <color theme="1" tint="0.34998626667073579"/>
        <rFont val="Segoe UI"/>
        <family val="2"/>
      </rPr>
      <t>Target U-value</t>
    </r>
    <r>
      <rPr>
        <sz val="10"/>
        <color theme="1" tint="0.34998626667073579"/>
        <rFont val="Segoe UI"/>
        <family val="2"/>
      </rPr>
      <t xml:space="preserve"> for minimum thermal insulation after refurbishment in Austria</t>
    </r>
  </si>
  <si>
    <t>https://www.tirol.gv.at/fileadmin/themen/bauen-wohnen/wohnbaufoerderung/downloads_2019/2023_Sanierung_Fibel_web.pdf</t>
  </si>
  <si>
    <t>very good</t>
  </si>
  <si>
    <t>good</t>
  </si>
  <si>
    <t>1 / existing U-value = R_existing: existing heat transfer resistance</t>
  </si>
  <si>
    <r>
      <t>m</t>
    </r>
    <r>
      <rPr>
        <vertAlign val="superscript"/>
        <sz val="10"/>
        <color theme="1" tint="0.34998626667073579"/>
        <rFont val="Segoe UI"/>
        <family val="2"/>
      </rPr>
      <t>2</t>
    </r>
    <r>
      <rPr>
        <sz val="10"/>
        <color theme="1" tint="0.34998626667073579"/>
        <rFont val="Segoe UI"/>
        <family val="2"/>
      </rPr>
      <t>.K/W</t>
    </r>
  </si>
  <si>
    <t>average</t>
  </si>
  <si>
    <t>1 / target U-value = R_target: targeted heat transfer resistance</t>
  </si>
  <si>
    <t>poor</t>
  </si>
  <si>
    <t>R = D + 1/αi + 1/αa … with heat transfer resistance 1/αi to inner and 1/αa to outercomponent surface</t>
  </si>
  <si>
    <t>very poor</t>
  </si>
  <si>
    <t>Heat transfer coefficient: D = Σ d/λ with d: thickness of the building material layer [m] and λ: thermal conductivity of the building material layer</t>
  </si>
  <si>
    <t>Heat transfer coefficient … D_needed for minimum thermal insulation</t>
  </si>
  <si>
    <t>λ_new_insulation: thermal conductivity of the additional insulation layer</t>
  </si>
  <si>
    <t>W/m.K</t>
  </si>
  <si>
    <t>d_min: the minimum required additional insulation thickness.</t>
  </si>
  <si>
    <t>Ti … average annual inside temperature to inner uppermost ceiling surface</t>
  </si>
  <si>
    <t>Ti … average annual inside temperature to outer uppermost ceiling surface</t>
  </si>
  <si>
    <t>Avoided transmission heat losses, load flow</t>
  </si>
  <si>
    <t>Wood fiberboard</t>
  </si>
  <si>
    <t>0.040 – 0.055</t>
  </si>
  <si>
    <t>Cellulose</t>
  </si>
  <si>
    <t>0.038 – 0.045</t>
  </si>
  <si>
    <t>Avoided transmission heat losses</t>
  </si>
  <si>
    <t>Flax, hemp, cotton</t>
  </si>
  <si>
    <t xml:space="preserve">Average </t>
  </si>
  <si>
    <t>Insulation Materials costs, specific</t>
  </si>
  <si>
    <t>€/m²</t>
  </si>
  <si>
    <t>Insulation Materials costs, total</t>
  </si>
  <si>
    <t>Labor Time, specific</t>
  </si>
  <si>
    <t>h/m²</t>
  </si>
  <si>
    <t>Labor Time, total</t>
  </si>
  <si>
    <t>h</t>
  </si>
  <si>
    <t>Labor cost, specific</t>
  </si>
  <si>
    <t>Labor cost, total</t>
  </si>
  <si>
    <t>for nr. of flats having an uppermost ceiling</t>
  </si>
  <si>
    <t>Overview of apartements with a refurbished ceiling</t>
  </si>
  <si>
    <t>Reduction of Domestic Hot Water distribution losses - insulation of pipes and fittings</t>
  </si>
  <si>
    <t>5 to 15</t>
  </si>
  <si>
    <t>Equivalent additional uninsulated pipe length in m</t>
  </si>
  <si>
    <t>Reduction of Final energy consumption for DHW, total</t>
  </si>
  <si>
    <t>Avoided heat losses, relative to total final energy DHW demand</t>
  </si>
  <si>
    <t>Overview of apartements with Reduction of DHW distribution losses</t>
  </si>
  <si>
    <t>Domestic hot water consumption reduction - Showering instead of bathing</t>
  </si>
  <si>
    <t>Reduction of Final energy consumption, relative to average consumption</t>
  </si>
  <si>
    <t>savings</t>
  </si>
  <si>
    <t>normally</t>
  </si>
  <si>
    <t>nr. of bathes</t>
  </si>
  <si>
    <t>#/p.yr</t>
  </si>
  <si>
    <t>litre/p.bath</t>
  </si>
  <si>
    <t>Reduction of useful energy consumption, absolute</t>
  </si>
  <si>
    <t>Final Energy Savings</t>
  </si>
  <si>
    <t>Overview of apartements which do Showering instead of bathing</t>
  </si>
  <si>
    <t>Energy Cost Savings over lifetime, net present value</t>
  </si>
  <si>
    <t>Domestic hot water consumption reduction - Lowered shower time</t>
  </si>
  <si>
    <t>Reduction of showering time</t>
  </si>
  <si>
    <t>Overview of apartements which lower shower time</t>
  </si>
  <si>
    <t>Domestic hot water consumption reduction - Use of a dishwasher instead of washing by hand</t>
  </si>
  <si>
    <t>% reduction due to consumption of dish washing machine</t>
  </si>
  <si>
    <t>Overview of apartements with Use of a dishwasher instead of washing by hand</t>
  </si>
  <si>
    <t>Domestic hot water consumption reduction - Use more cold tap water instead of hot</t>
  </si>
  <si>
    <t>Overview of apartements with Use more cold tap water instead of hot</t>
  </si>
  <si>
    <t>Domestic hot water consumption reduction - Use of a water-saving shower head</t>
  </si>
  <si>
    <t>Use of a water-saving shower head</t>
  </si>
  <si>
    <t>0 to 1</t>
  </si>
  <si>
    <t>Time to collect materials at DIY stores</t>
  </si>
  <si>
    <t>0,5 to 1,5</t>
  </si>
  <si>
    <t>Total information and collection time</t>
  </si>
  <si>
    <t xml:space="preserve">0,2 to 0,4 </t>
  </si>
  <si>
    <t>Number of shower heads</t>
  </si>
  <si>
    <t>Costs of shower head</t>
  </si>
  <si>
    <t>€ per unit</t>
  </si>
  <si>
    <t>20 to 40</t>
  </si>
  <si>
    <t>5 to 10</t>
  </si>
  <si>
    <t>Overview of apartements with Use of a water-saving shower head</t>
  </si>
  <si>
    <t>Household electricity demand - behaviour change interventions</t>
  </si>
  <si>
    <t>old device</t>
  </si>
  <si>
    <t>normal dev</t>
  </si>
  <si>
    <t>efficient dev</t>
  </si>
  <si>
    <t>Sources</t>
  </si>
  <si>
    <t>Lighting</t>
  </si>
  <si>
    <t>klimaaktiv, AT</t>
  </si>
  <si>
    <t>Electric stove</t>
  </si>
  <si>
    <t>Electric oven</t>
  </si>
  <si>
    <t>Dish washer</t>
  </si>
  <si>
    <t>Kitchen dev. with thermo function</t>
  </si>
  <si>
    <t>Other household dev</t>
  </si>
  <si>
    <t>Fridge</t>
  </si>
  <si>
    <t>Freezer</t>
  </si>
  <si>
    <t>Washing machine</t>
  </si>
  <si>
    <t>Tumble dryer</t>
  </si>
  <si>
    <t>1 Tablet</t>
  </si>
  <si>
    <t>W-Lan router</t>
  </si>
  <si>
    <t>Laptop 1</t>
  </si>
  <si>
    <t>Laptop 2</t>
  </si>
  <si>
    <t>PC 1</t>
  </si>
  <si>
    <t>PC 2</t>
  </si>
  <si>
    <t>Monitor 1</t>
  </si>
  <si>
    <t>Monitor 2</t>
  </si>
  <si>
    <t>Game console</t>
  </si>
  <si>
    <t>TV 1</t>
  </si>
  <si>
    <t>TV 2</t>
  </si>
  <si>
    <t>Audio system</t>
  </si>
  <si>
    <t>Chargers (mobile phones)</t>
  </si>
  <si>
    <t>Standby</t>
  </si>
  <si>
    <t>Under-sink boiler</t>
  </si>
  <si>
    <t>SPH circulation pump</t>
  </si>
  <si>
    <t>SPH - auxiliary energy</t>
  </si>
  <si>
    <t>DHW circulation pump</t>
  </si>
  <si>
    <t>MA 20, AT</t>
  </si>
  <si>
    <t>DHW - auxiliary energy</t>
  </si>
  <si>
    <t>Total household electricity demand, excl. any heat pumps</t>
  </si>
  <si>
    <t>Typical annual electricity consumption</t>
  </si>
  <si>
    <t>https://www.co2online.de/energie-sparen/strom-sparen/strom-sparen-stromspartipps/stromverbrauch-im-haushalt/</t>
  </si>
  <si>
    <t>Built-in split air conditioner</t>
  </si>
  <si>
    <t>Cooling load in residential housing sector</t>
  </si>
  <si>
    <t>W/m³</t>
  </si>
  <si>
    <t>30 to 40</t>
  </si>
  <si>
    <t>https://www.npro.energy/main/de/load-profiles/cooling/space-cooling</t>
  </si>
  <si>
    <t>Share of conditioned living area</t>
  </si>
  <si>
    <t>Conditioned living area</t>
  </si>
  <si>
    <t>Room height</t>
  </si>
  <si>
    <t>Nr of persons present in cooled area</t>
  </si>
  <si>
    <t>cooling load</t>
  </si>
  <si>
    <t>W/p</t>
  </si>
  <si>
    <t>Cooling load of active computers</t>
  </si>
  <si>
    <t>base load of other el. devices</t>
  </si>
  <si>
    <t>Total cooling load</t>
  </si>
  <si>
    <t>kW</t>
  </si>
  <si>
    <t>Seasonal Energy Efficiency Ratio (SEER)</t>
  </si>
  <si>
    <t>older device</t>
  </si>
  <si>
    <t xml:space="preserve">https://indoortemp.com/resources/whats-a-good-seer-rating-and-why-is-it-important </t>
  </si>
  <si>
    <t>Daily operation time</t>
  </si>
  <si>
    <t>h/d</t>
  </si>
  <si>
    <t>Operation duration in days</t>
  </si>
  <si>
    <t>d/a</t>
  </si>
  <si>
    <t>https://www.enter.de/blog/klimaanlage-stromverbrauch</t>
  </si>
  <si>
    <t>Operation duration in hours</t>
  </si>
  <si>
    <t>Annual electricity consumption</t>
  </si>
  <si>
    <t>Specific annual electricity consumption</t>
  </si>
  <si>
    <t>https://www.tep-energy.ch/de/projekte/detail/p1105_Kennwerte_Gebaeudekuehlung.php</t>
  </si>
  <si>
    <t>Stand fans reducing AC-system operation</t>
  </si>
  <si>
    <t>Average el. consumption of stand fan</t>
  </si>
  <si>
    <t xml:space="preserve">https://www.oekotest.de/geld-versicherungen/Wie-viel-Strom-verbraucht-eigentlich-ein-Ventilator_13012_1.html </t>
  </si>
  <si>
    <t>Number of stand fans used</t>
  </si>
  <si>
    <t>Do without air conditioning, use fans etc.</t>
  </si>
  <si>
    <t>% of AC</t>
  </si>
  <si>
    <t>of AC-system operation time</t>
  </si>
  <si>
    <t>Avoided number of AC operation</t>
  </si>
  <si>
    <t>Net electricity consumption reduction (AC minus stand fans)</t>
  </si>
  <si>
    <t>Behavior-related energy saving interventions</t>
  </si>
  <si>
    <t>Lifetime of the interventions</t>
  </si>
  <si>
    <t>of average lightning consumption</t>
  </si>
  <si>
    <t>Washing without prewash</t>
  </si>
  <si>
    <t>of average washing machine consumption</t>
  </si>
  <si>
    <t>Use eco programs for washing machine</t>
  </si>
  <si>
    <t>40 °C instead of 60 °C</t>
  </si>
  <si>
    <t>Using detergents allowing to wash laundry at 30 degrees</t>
  </si>
  <si>
    <t>30 °C instead of 40 °C</t>
  </si>
  <si>
    <t xml:space="preserve">Leave laundry to dry on a clothes horse </t>
  </si>
  <si>
    <t>of average tumble dryer consumption</t>
  </si>
  <si>
    <t>of average dish washer consumption</t>
  </si>
  <si>
    <t>to</t>
  </si>
  <si>
    <t>Standby - behavior change</t>
  </si>
  <si>
    <t>of average total standby consumption</t>
  </si>
  <si>
    <t>Overview of household electricity demand - behaviour change interventions</t>
  </si>
  <si>
    <t>Electricity consumption reduction - small investment interventions</t>
  </si>
  <si>
    <t>Number of bulbs to be replaced</t>
  </si>
  <si>
    <t>6 to 15</t>
  </si>
  <si>
    <t>4 to 10</t>
  </si>
  <si>
    <t>Costs of LED lamps</t>
  </si>
  <si>
    <t>ADENE, estimation from DIY stores</t>
  </si>
  <si>
    <t>10-20 yrs</t>
  </si>
  <si>
    <t>ADENE, Web research, highly dependent on usage</t>
  </si>
  <si>
    <t>Number of sockets</t>
  </si>
  <si>
    <t>Costs per unit</t>
  </si>
  <si>
    <t>5 to 25</t>
  </si>
  <si>
    <t>AEA, estimation from DIY stores</t>
  </si>
  <si>
    <t>Number of units</t>
  </si>
  <si>
    <t>40 to 100</t>
  </si>
  <si>
    <t>AEA, estimation</t>
  </si>
  <si>
    <t>10 to 15 yrs</t>
  </si>
  <si>
    <t>highly dependent on usage</t>
  </si>
  <si>
    <t>Overview of electricity consumption reduction - small investment interventions</t>
  </si>
  <si>
    <t>Electricity consumption reduction - high investment interventions</t>
  </si>
  <si>
    <t>compared to older device, if consumption is &gt; 100 kWh/a</t>
  </si>
  <si>
    <t>https://www.co2online.de/modernisieren-und-bauen/heizungspumpe/heizungspumpe-tauschen/</t>
  </si>
  <si>
    <t>https://www.co2online.de/energie-sparen/strom-sparen/strom-sparen-stromspartipps/strom-sparen-tipps-und-tricks/#c28843</t>
  </si>
  <si>
    <t>Replacing inefficient electricity devices - refrigerator</t>
  </si>
  <si>
    <t>see data link</t>
  </si>
  <si>
    <t>Replacing inefficient electricity devices - freezer</t>
  </si>
  <si>
    <t>Replacing inefficient electricity devices - washing machine</t>
  </si>
  <si>
    <t>Replacing inefficient electricity devices - dish washer</t>
  </si>
  <si>
    <t>Professionals' implementation time</t>
  </si>
  <si>
    <t>Hourly cost of a professionist</t>
  </si>
  <si>
    <t>50 to 120</t>
  </si>
  <si>
    <t>depending on country</t>
  </si>
  <si>
    <t>Total labour costs</t>
  </si>
  <si>
    <t>Costs of circulation pump</t>
  </si>
  <si>
    <t>100 to 300</t>
  </si>
  <si>
    <t>150 to 350</t>
  </si>
  <si>
    <t>AEA</t>
  </si>
  <si>
    <t>incl. timer switch and hermostate</t>
  </si>
  <si>
    <t>Delivery and implementation (are due anyway)</t>
  </si>
  <si>
    <t>60 to 250</t>
  </si>
  <si>
    <t xml:space="preserve">depending on just setup or installation </t>
  </si>
  <si>
    <t>Costs of high energy efficient device</t>
  </si>
  <si>
    <t>800-1100</t>
  </si>
  <si>
    <t>Costs of normal efficient device</t>
  </si>
  <si>
    <t>Total additional up-front investment</t>
  </si>
  <si>
    <t>10-15 yrs</t>
  </si>
  <si>
    <t>50 to 200</t>
  </si>
  <si>
    <t>350 – 550</t>
  </si>
  <si>
    <t>170 – 350</t>
  </si>
  <si>
    <t>15-20 yrs</t>
  </si>
  <si>
    <t>0 to 3</t>
  </si>
  <si>
    <t>40 to 120</t>
  </si>
  <si>
    <t>500 – 800</t>
  </si>
  <si>
    <t>350-500</t>
  </si>
  <si>
    <t>70 to 200</t>
  </si>
  <si>
    <t>550-800</t>
  </si>
  <si>
    <t>400-800</t>
  </si>
  <si>
    <t>400-550</t>
  </si>
  <si>
    <t>Overview of electricity consumption reduction - high investment interventions</t>
  </si>
  <si>
    <t>Total (additional) investment of participating households</t>
  </si>
  <si>
    <t>TYPE</t>
  </si>
  <si>
    <t>SELECT</t>
  </si>
  <si>
    <t>HOW TO USE: Enter campaign type, campaign costs and households reached above. Then enter x only beside measures covered by the campaign.</t>
  </si>
  <si>
    <t>Orange = enter or select  |  Green = linked from Data Input  |  Blue/white = calculated results. Annual household results and lifetime campaign results are shown separately.</t>
  </si>
  <si>
    <t>SaveEnergyTogether: Cost Benefit Analysis Tool</t>
  </si>
  <si>
    <t>ENERGY SAVING MEASURE</t>
  </si>
  <si>
    <r>
      <rPr>
        <b/>
        <sz val="11"/>
        <color theme="1"/>
        <rFont val="Calibri"/>
        <family val="2"/>
        <scheme val="minor"/>
      </rPr>
      <t>Please select the campaign type</t>
    </r>
    <r>
      <rPr>
        <sz val="11"/>
        <color theme="1"/>
        <rFont val="Calibri"/>
        <family val="2"/>
        <scheme val="minor"/>
      </rPr>
      <t xml:space="preserve"> that best represents your planned activity, enter the </t>
    </r>
    <r>
      <rPr>
        <b/>
        <sz val="11"/>
        <color theme="1"/>
        <rFont val="Calibri"/>
        <family val="2"/>
        <scheme val="minor"/>
      </rPr>
      <t>estimated campaign cost</t>
    </r>
    <r>
      <rPr>
        <sz val="11"/>
        <color theme="1"/>
        <rFont val="Calibri"/>
        <family val="2"/>
        <scheme val="minor"/>
      </rPr>
      <t xml:space="preserve">s, and indicate the </t>
    </r>
    <r>
      <rPr>
        <b/>
        <sz val="11"/>
        <color theme="1"/>
        <rFont val="Calibri"/>
        <family val="2"/>
        <scheme val="minor"/>
      </rPr>
      <t>number of households</t>
    </r>
    <r>
      <rPr>
        <sz val="11"/>
        <color theme="1"/>
        <rFont val="Calibri"/>
        <family val="2"/>
        <scheme val="minor"/>
      </rPr>
      <t xml:space="preserve"> you expect to reach. The number of households should reflect the </t>
    </r>
    <r>
      <rPr>
        <b/>
        <sz val="11"/>
        <color theme="1"/>
        <rFont val="Calibri"/>
        <family val="2"/>
        <scheme val="minor"/>
      </rPr>
      <t>expected outreach of the campaign</t>
    </r>
    <r>
      <rPr>
        <sz val="11"/>
        <color theme="1"/>
        <rFont val="Calibri"/>
        <family val="2"/>
        <scheme val="minor"/>
      </rPr>
      <t xml:space="preserve">, not </t>
    </r>
    <r>
      <rPr>
        <sz val="11"/>
        <rFont val="Calibri"/>
        <family val="2"/>
        <scheme val="minor"/>
      </rPr>
      <t>necessarily</t>
    </r>
    <r>
      <rPr>
        <sz val="11"/>
        <color theme="1"/>
        <rFont val="Calibri"/>
        <family val="2"/>
        <scheme val="minor"/>
      </rPr>
      <t xml:space="preserve"> the number of households that will actually implement a measure.
Then select the </t>
    </r>
    <r>
      <rPr>
        <b/>
        <sz val="11"/>
        <color theme="1"/>
        <rFont val="Calibri"/>
        <family val="2"/>
        <scheme val="minor"/>
      </rPr>
      <t>energy saving measures addressed</t>
    </r>
    <r>
      <rPr>
        <sz val="11"/>
        <color theme="1"/>
        <rFont val="Calibri"/>
        <family val="2"/>
        <scheme val="minor"/>
      </rPr>
      <t xml:space="preserve"> by the campaign by placing an “x” next to the relevant measures. Only selected measures are included in the campaign results. If a measure is not part of your campaign communication, leave the corresponding field empty.
Based on your entries, the tool estimates the </t>
    </r>
    <r>
      <rPr>
        <b/>
        <sz val="11"/>
        <color theme="1"/>
        <rFont val="Calibri"/>
        <family val="2"/>
        <scheme val="minor"/>
      </rPr>
      <t>expected impacts of the campaign</t>
    </r>
    <r>
      <rPr>
        <sz val="11"/>
        <color theme="1"/>
        <rFont val="Calibri"/>
        <family val="2"/>
        <scheme val="minor"/>
      </rPr>
      <t xml:space="preserve"> at both </t>
    </r>
    <r>
      <rPr>
        <b/>
        <sz val="11"/>
        <color theme="1"/>
        <rFont val="Calibri"/>
        <family val="2"/>
        <scheme val="minor"/>
      </rPr>
      <t>household and campaign level</t>
    </r>
    <r>
      <rPr>
        <sz val="11"/>
        <color theme="1"/>
        <rFont val="Calibri"/>
        <family val="2"/>
        <scheme val="minor"/>
      </rPr>
      <t xml:space="preserve">. The results provide an indication of the potential benefits of different campaign designs and help assess whether the campaign is beneficial from a wider societal perspective.
The indicator </t>
    </r>
    <r>
      <rPr>
        <b/>
        <sz val="11"/>
        <color theme="1"/>
        <rFont val="Calibri"/>
        <family val="2"/>
        <scheme val="minor"/>
      </rPr>
      <t>“Campaign is beneficial for society</t>
    </r>
    <r>
      <rPr>
        <sz val="11"/>
        <color theme="1"/>
        <rFont val="Calibri"/>
        <family val="2"/>
        <scheme val="minor"/>
      </rPr>
      <t>” compares the estimated benefits with the costs and investments triggered by the campaign. A positive result indicates that the monetised benefits outweigh the relevant costs over the lifetime of the selected measures.
The measure level results can help identify which actions are most suitable for the campaign target group and which measures offer the strongest benefits in relation to implementation effort and required household investment.</t>
    </r>
  </si>
  <si>
    <t>Total investments: campaign + households [€]</t>
  </si>
  <si>
    <t>Helpful resources for running campaigns can be found on the SaveEnergyTogether resource hub: www.climatealliance.org/saveenergytogether-online-hub/saveenergytogether-municipality-resources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</si>
</sst>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
    <numFmt numFmtId="167" formatCode="#,##0.000"/>
    <numFmt numFmtId="168" formatCode="0.000"/>
    <numFmt numFmtId="169" formatCode="000"/>
    <numFmt numFmtId="170" formatCode="0.0000"/>
  </numFmts>
  <fonts count="65" x14ac:knownFonts="1">
    <font>
      <sz val="11"/>
      <color theme="1"/>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1"/>
      <color theme="0" tint="-0.34998626667073579"/>
      <name val="Calibri"/>
      <family val="2"/>
      <scheme val="minor"/>
    </font>
    <font>
      <u/>
      <sz val="11"/>
      <color theme="10"/>
      <name val="Calibri"/>
      <family val="2"/>
      <scheme val="minor"/>
    </font>
    <font>
      <sz val="9"/>
      <color indexed="81"/>
      <name val="Segoe UI"/>
      <family val="2"/>
    </font>
    <font>
      <b/>
      <sz val="9"/>
      <color indexed="81"/>
      <name val="Segoe UI"/>
      <family val="2"/>
    </font>
    <font>
      <sz val="11"/>
      <name val="Calibri"/>
      <family val="2"/>
      <scheme val="minor"/>
    </font>
    <font>
      <sz val="10"/>
      <color theme="1"/>
      <name val="Segoe UI"/>
      <family val="2"/>
    </font>
    <font>
      <sz val="10"/>
      <color theme="1" tint="0.34998626667073579"/>
      <name val="Segoe UI"/>
      <family val="2"/>
    </font>
    <font>
      <b/>
      <sz val="12"/>
      <color theme="1"/>
      <name val="Segoe UI"/>
      <family val="2"/>
    </font>
    <font>
      <sz val="11"/>
      <color theme="1"/>
      <name val="Segoe UI"/>
      <family val="2"/>
    </font>
    <font>
      <b/>
      <sz val="11"/>
      <color theme="0" tint="-0.499984740745262"/>
      <name val="Segoe UI"/>
      <family val="2"/>
    </font>
    <font>
      <b/>
      <sz val="11"/>
      <color theme="1" tint="0.499984740745262"/>
      <name val="Segoe UI"/>
      <family val="2"/>
    </font>
    <font>
      <u/>
      <sz val="10"/>
      <color theme="10"/>
      <name val="Segoe UI"/>
      <family val="2"/>
    </font>
    <font>
      <b/>
      <sz val="11"/>
      <color rgb="FF3399FF"/>
      <name val="Segoe UI"/>
      <family val="2"/>
    </font>
    <font>
      <b/>
      <i/>
      <sz val="11"/>
      <color theme="1" tint="0.499984740745262"/>
      <name val="Segoe UI"/>
      <family val="2"/>
    </font>
    <font>
      <i/>
      <sz val="10"/>
      <color theme="1" tint="0.499984740745262"/>
      <name val="Segoe UI"/>
      <family val="2"/>
    </font>
    <font>
      <i/>
      <sz val="11"/>
      <color theme="1"/>
      <name val="Segoe UI"/>
      <family val="2"/>
    </font>
    <font>
      <b/>
      <sz val="10"/>
      <color theme="1" tint="0.34998626667073579"/>
      <name val="Segoe UI"/>
      <family val="2"/>
    </font>
    <font>
      <sz val="8"/>
      <name val="Calibri"/>
      <family val="2"/>
      <scheme val="minor"/>
    </font>
    <font>
      <b/>
      <sz val="14"/>
      <color rgb="FF3399FF"/>
      <name val="Segoe UI"/>
      <family val="2"/>
    </font>
    <font>
      <sz val="10"/>
      <color rgb="FFFFC000"/>
      <name val="Segoe UI"/>
      <family val="2"/>
    </font>
    <font>
      <vertAlign val="superscript"/>
      <sz val="10"/>
      <color theme="1" tint="0.34998626667073579"/>
      <name val="Segoe UI"/>
      <family val="2"/>
    </font>
    <font>
      <i/>
      <sz val="10"/>
      <color theme="1" tint="0.34998626667073579"/>
      <name val="Segoe UI"/>
      <family val="2"/>
    </font>
    <font>
      <sz val="11"/>
      <color theme="1" tint="0.499984740745262"/>
      <name val="Segoe UI"/>
      <family val="2"/>
    </font>
    <font>
      <b/>
      <sz val="11"/>
      <color theme="0"/>
      <name val="Calibri"/>
      <family val="2"/>
      <scheme val="minor"/>
    </font>
    <font>
      <sz val="11"/>
      <color theme="0"/>
      <name val="Calibri"/>
      <family val="2"/>
      <scheme val="minor"/>
    </font>
    <font>
      <b/>
      <sz val="11"/>
      <color theme="1"/>
      <name val="Segoe UI"/>
      <family val="2"/>
    </font>
    <font>
      <b/>
      <i/>
      <sz val="10"/>
      <color theme="1" tint="0.34998626667073579"/>
      <name val="Segoe UI"/>
      <family val="2"/>
    </font>
    <font>
      <b/>
      <sz val="10"/>
      <color theme="0" tint="-0.499984740745262"/>
      <name val="Segoe UI"/>
      <family val="2"/>
    </font>
    <font>
      <b/>
      <sz val="10"/>
      <color rgb="FF7030A0"/>
      <name val="Segoe UI"/>
      <family val="2"/>
    </font>
    <font>
      <sz val="11"/>
      <name val="Segoe UI"/>
      <family val="2"/>
    </font>
    <font>
      <sz val="10"/>
      <color rgb="FF005D8E"/>
      <name val="Calibri"/>
      <family val="2"/>
      <scheme val="minor"/>
    </font>
    <font>
      <sz val="11"/>
      <color theme="1"/>
      <name val="Segoe UI"/>
      <family val="2"/>
    </font>
    <font>
      <b/>
      <sz val="12"/>
      <color rgb="FFC00000"/>
      <name val="Calibri"/>
      <family val="2"/>
      <scheme val="minor"/>
    </font>
    <font>
      <sz val="11"/>
      <color indexed="8"/>
      <name val="Calibri"/>
      <family val="2"/>
      <scheme val="minor"/>
    </font>
    <font>
      <sz val="9"/>
      <name val="Arial"/>
      <family val="2"/>
    </font>
    <font>
      <b/>
      <sz val="9"/>
      <name val="Arial"/>
      <family val="2"/>
    </font>
    <font>
      <b/>
      <sz val="11"/>
      <color indexed="8"/>
      <name val="Calibri"/>
      <family val="2"/>
      <scheme val="minor"/>
    </font>
    <font>
      <b/>
      <sz val="9"/>
      <color indexed="9"/>
      <name val="Arial"/>
      <family val="2"/>
    </font>
    <font>
      <sz val="11"/>
      <color theme="2" tint="-0.249977111117893"/>
      <name val="Calibri"/>
      <family val="2"/>
      <scheme val="minor"/>
    </font>
    <font>
      <sz val="8"/>
      <color theme="1"/>
      <name val="Segoe UI"/>
      <family val="2"/>
    </font>
    <font>
      <b/>
      <sz val="12"/>
      <name val="Segoe UI"/>
      <family val="2"/>
    </font>
    <font>
      <sz val="10"/>
      <name val="Segoe UI"/>
      <family val="2"/>
    </font>
    <font>
      <sz val="9"/>
      <color indexed="81"/>
      <name val="Segoe UI"/>
      <charset val="1"/>
    </font>
    <font>
      <b/>
      <sz val="22"/>
      <color theme="0"/>
      <name val="Segoe UI"/>
      <family val="2"/>
    </font>
    <font>
      <sz val="11"/>
      <color rgb="FF005D8E"/>
      <name val="Calibri"/>
      <family val="2"/>
      <scheme val="minor"/>
    </font>
    <font>
      <sz val="12"/>
      <color rgb="FF005D8E"/>
      <name val="Calibri"/>
      <family val="2"/>
      <scheme val="minor"/>
    </font>
    <font>
      <sz val="14"/>
      <color rgb="FF005D8E"/>
      <name val="Calibri"/>
      <family val="2"/>
      <scheme val="minor"/>
    </font>
    <font>
      <sz val="24"/>
      <color rgb="FF005D8E"/>
      <name val="Calibri"/>
      <family val="2"/>
      <scheme val="minor"/>
    </font>
    <font>
      <sz val="11"/>
      <color rgb="FFB5683D"/>
      <name val="Calibri"/>
      <family val="2"/>
      <scheme val="minor"/>
    </font>
    <font>
      <sz val="16"/>
      <color rgb="FF005D8E"/>
      <name val="Calibri"/>
      <family val="2"/>
      <scheme val="minor"/>
    </font>
    <font>
      <b/>
      <sz val="10"/>
      <color rgb="FFFFFFFF"/>
      <name val="Aptos"/>
      <family val="2"/>
    </font>
    <font>
      <b/>
      <sz val="16"/>
      <color rgb="FFFFFFFF"/>
      <name val="Aptos"/>
      <family val="2"/>
    </font>
    <font>
      <b/>
      <sz val="11"/>
      <color rgb="FFFFFFFF"/>
      <name val="Aptos"/>
      <family val="2"/>
    </font>
    <font>
      <sz val="10"/>
      <color rgb="FF203D53"/>
      <name val="Aptos"/>
      <family val="2"/>
    </font>
    <font>
      <b/>
      <sz val="10"/>
      <color rgb="FF173B52"/>
      <name val="Aptos"/>
      <family val="2"/>
    </font>
    <font>
      <b/>
      <sz val="11"/>
      <color rgb="FF8B4D0B"/>
      <name val="Aptos"/>
      <family val="2"/>
    </font>
    <font>
      <b/>
      <sz val="10"/>
      <color rgb="FF12634E"/>
      <name val="Aptos"/>
      <family val="2"/>
    </font>
    <font>
      <b/>
      <sz val="10"/>
      <color rgb="FF183047"/>
      <name val="Aptos"/>
      <family val="2"/>
    </font>
    <font>
      <sz val="10"/>
      <color rgb="FF526A7A"/>
      <name val="Aptos"/>
      <family val="2"/>
    </font>
    <font>
      <sz val="11"/>
      <color rgb="FF486376"/>
      <name val="Calibri"/>
      <family val="2"/>
      <scheme val="minor"/>
    </font>
    <font>
      <b/>
      <sz val="10"/>
      <color theme="0"/>
      <name val="Aptos"/>
      <family val="2"/>
    </font>
  </fonts>
  <fills count="26">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CCCCFF"/>
        <bgColor indexed="64"/>
      </patternFill>
    </fill>
    <fill>
      <patternFill patternType="solid">
        <fgColor rgb="FF005D8E"/>
        <bgColor indexed="64"/>
      </patternFill>
    </fill>
    <fill>
      <patternFill patternType="solid">
        <fgColor rgb="FFE6C6B4"/>
        <bgColor indexed="64"/>
      </patternFill>
    </fill>
    <fill>
      <patternFill patternType="solid">
        <fgColor rgb="FFC7D4DF"/>
        <bgColor indexed="64"/>
      </patternFill>
    </fill>
    <fill>
      <patternFill patternType="solid">
        <fgColor rgb="FF4669AF"/>
      </patternFill>
    </fill>
    <fill>
      <patternFill patternType="solid">
        <fgColor rgb="FF0096DC"/>
      </patternFill>
    </fill>
    <fill>
      <patternFill patternType="mediumGray">
        <bgColor indexed="22"/>
      </patternFill>
    </fill>
    <fill>
      <patternFill patternType="solid">
        <fgColor rgb="FFDCE6F1"/>
      </patternFill>
    </fill>
    <fill>
      <patternFill patternType="solid">
        <fgColor theme="5"/>
        <bgColor indexed="64"/>
      </patternFill>
    </fill>
    <fill>
      <patternFill patternType="solid">
        <fgColor rgb="FFF6F6F6"/>
      </patternFill>
    </fill>
    <fill>
      <patternFill patternType="solid">
        <fgColor theme="9"/>
        <bgColor indexed="64"/>
      </patternFill>
    </fill>
    <fill>
      <patternFill patternType="solid">
        <fgColor rgb="FF087C91"/>
        <bgColor indexed="64"/>
      </patternFill>
    </fill>
    <fill>
      <patternFill patternType="solid">
        <fgColor rgb="FFEAF5F9"/>
        <bgColor indexed="64"/>
      </patternFill>
    </fill>
    <fill>
      <patternFill patternType="solid">
        <fgColor rgb="FFF3F8FA"/>
        <bgColor indexed="64"/>
      </patternFill>
    </fill>
    <fill>
      <patternFill patternType="solid">
        <fgColor rgb="FFFFFFFF"/>
        <bgColor indexed="64"/>
      </patternFill>
    </fill>
    <fill>
      <patternFill patternType="solid">
        <fgColor rgb="FFFFF0D9"/>
        <bgColor indexed="64"/>
      </patternFill>
    </fill>
    <fill>
      <patternFill patternType="solid">
        <fgColor rgb="FFE1F1E9"/>
        <bgColor indexed="64"/>
      </patternFill>
    </fill>
    <fill>
      <patternFill patternType="solid">
        <fgColor rgb="FFE7EFF3"/>
        <bgColor indexed="64"/>
      </patternFill>
    </fill>
    <fill>
      <patternFill patternType="solid">
        <fgColor theme="4" tint="0.59999389629810485"/>
        <bgColor indexed="64"/>
      </patternFill>
    </fill>
  </fills>
  <borders count="34">
    <border>
      <left/>
      <right/>
      <top/>
      <bottom/>
      <diagonal/>
    </border>
    <border>
      <left/>
      <right/>
      <top style="thin">
        <color theme="0"/>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top/>
      <bottom style="thick">
        <color theme="0" tint="-0.14996795556505021"/>
      </bottom>
      <diagonal/>
    </border>
    <border>
      <left/>
      <right/>
      <top style="thick">
        <color theme="0" tint="-0.14996795556505021"/>
      </top>
      <bottom/>
      <diagonal/>
    </border>
    <border>
      <left/>
      <right style="thick">
        <color theme="0" tint="-0.1498764000366222"/>
      </right>
      <top/>
      <bottom/>
      <diagonal/>
    </border>
    <border>
      <left/>
      <right/>
      <top style="thick">
        <color theme="0" tint="-0.14996795556505021"/>
      </top>
      <bottom style="thick">
        <color theme="0" tint="-0.14996795556505021"/>
      </bottom>
      <diagonal/>
    </border>
    <border>
      <left style="thin">
        <color theme="0" tint="-0.14996795556505021"/>
      </left>
      <right style="thin">
        <color theme="0" tint="-0.14996795556505021"/>
      </right>
      <top style="thin">
        <color theme="0" tint="-0.14996795556505021"/>
      </top>
      <bottom style="thick">
        <color theme="0" tint="-0.14993743705557422"/>
      </bottom>
      <diagonal/>
    </border>
    <border>
      <left style="thin">
        <color theme="0" tint="-0.14996795556505021"/>
      </left>
      <right/>
      <top/>
      <bottom style="thick">
        <color theme="0" tint="-0.14993743705557422"/>
      </bottom>
      <diagonal/>
    </border>
    <border>
      <left style="thin">
        <color theme="0" tint="-0.14996795556505021"/>
      </left>
      <right/>
      <top style="thin">
        <color theme="0"/>
      </top>
      <bottom style="thick">
        <color theme="0" tint="-0.14993743705557422"/>
      </bottom>
      <diagonal/>
    </border>
    <border>
      <left/>
      <right/>
      <top style="thin">
        <color theme="0"/>
      </top>
      <bottom style="thick">
        <color theme="0" tint="-0.14993743705557422"/>
      </bottom>
      <diagonal/>
    </border>
    <border>
      <left/>
      <right/>
      <top style="thin">
        <color theme="0"/>
      </top>
      <bottom style="thick">
        <color theme="0" tint="-0.14996795556505021"/>
      </bottom>
      <diagonal/>
    </border>
    <border>
      <left/>
      <right/>
      <top style="thin">
        <color theme="0" tint="-0.14996795556505021"/>
      </top>
      <bottom style="thick">
        <color theme="0" tint="-0.14996795556505021"/>
      </bottom>
      <diagonal/>
    </border>
    <border>
      <left/>
      <right style="thin">
        <color theme="0" tint="-0.14996795556505021"/>
      </right>
      <top/>
      <bottom style="thick">
        <color theme="0" tint="-0.14993743705557422"/>
      </bottom>
      <diagonal/>
    </border>
    <border>
      <left/>
      <right/>
      <top style="thick">
        <color theme="0" tint="-0.14993743705557422"/>
      </top>
      <bottom style="hair">
        <color theme="0" tint="-0.14990691854609822"/>
      </bottom>
      <diagonal/>
    </border>
    <border>
      <left/>
      <right/>
      <top style="thick">
        <color theme="0" tint="-0.14993743705557422"/>
      </top>
      <bottom style="slantDashDot">
        <color theme="0" tint="-0.14990691854609822"/>
      </bottom>
      <diagonal/>
    </border>
    <border>
      <left style="thin">
        <color theme="0" tint="-0.14996795556505021"/>
      </left>
      <right/>
      <top/>
      <bottom/>
      <diagonal/>
    </border>
    <border>
      <left/>
      <right style="hair">
        <color theme="0" tint="-0.1498764000366222"/>
      </right>
      <top style="hair">
        <color theme="0" tint="-0.14990691854609822"/>
      </top>
      <bottom/>
      <diagonal/>
    </border>
    <border>
      <left style="thin">
        <color rgb="FF005D8E"/>
      </left>
      <right style="thin">
        <color rgb="FF005D8E"/>
      </right>
      <top style="thin">
        <color rgb="FF005D8E"/>
      </top>
      <bottom style="thin">
        <color rgb="FF005D8E"/>
      </bottom>
      <diagonal/>
    </border>
    <border>
      <left/>
      <right/>
      <top style="thin">
        <color rgb="FFB1C3D3"/>
      </top>
      <bottom style="thin">
        <color rgb="FFB1C3D3"/>
      </bottom>
      <diagonal/>
    </border>
    <border>
      <left/>
      <right/>
      <top style="thin">
        <color rgb="FFB1C3D3"/>
      </top>
      <bottom/>
      <diagonal/>
    </border>
    <border>
      <left/>
      <right style="thin">
        <color rgb="FFB1C3D3"/>
      </right>
      <top/>
      <bottom style="thin">
        <color rgb="FFB1C3D3"/>
      </bottom>
      <diagonal/>
    </border>
    <border>
      <left style="thin">
        <color rgb="FFB1C3D3"/>
      </left>
      <right style="thin">
        <color rgb="FFB1C3D3"/>
      </right>
      <top/>
      <bottom style="thin">
        <color rgb="FFB1C3D3"/>
      </bottom>
      <diagonal/>
    </border>
    <border>
      <left style="thin">
        <color rgb="FFB1C3D3"/>
      </left>
      <right/>
      <top/>
      <bottom style="thin">
        <color rgb="FFB1C3D3"/>
      </bottom>
      <diagonal/>
    </border>
    <border>
      <left/>
      <right style="thin">
        <color rgb="FFB1C3D3"/>
      </right>
      <top style="thin">
        <color rgb="FFB1C3D3"/>
      </top>
      <bottom/>
      <diagonal/>
    </border>
    <border>
      <left style="thin">
        <color rgb="FFB1C3D3"/>
      </left>
      <right style="thin">
        <color rgb="FFB1C3D3"/>
      </right>
      <top style="thin">
        <color rgb="FFB1C3D3"/>
      </top>
      <bottom/>
      <diagonal/>
    </border>
    <border>
      <left style="thin">
        <color rgb="FFB1C3D3"/>
      </left>
      <right/>
      <top style="thin">
        <color rgb="FFB1C3D3"/>
      </top>
      <bottom/>
      <diagonal/>
    </border>
    <border>
      <left/>
      <right style="thin">
        <color rgb="FFB1C3D3"/>
      </right>
      <top style="thin">
        <color rgb="FFB1C3D3"/>
      </top>
      <bottom style="thin">
        <color rgb="FFB1C3D3"/>
      </bottom>
      <diagonal/>
    </border>
    <border>
      <left style="thin">
        <color rgb="FFB0B0B0"/>
      </left>
      <right style="thin">
        <color rgb="FFB0B0B0"/>
      </right>
      <top style="thin">
        <color rgb="FFB0B0B0"/>
      </top>
      <bottom style="thin">
        <color rgb="FFB0B0B0"/>
      </bottom>
      <diagonal/>
    </border>
    <border>
      <left style="thin">
        <color rgb="FFB0B0B0"/>
      </left>
      <right style="thin">
        <color rgb="FFB0B0B0"/>
      </right>
      <top/>
      <bottom/>
      <diagonal/>
    </border>
    <border>
      <left/>
      <right/>
      <top/>
      <bottom style="thin">
        <color rgb="FFD4E1E8"/>
      </bottom>
      <diagonal/>
    </border>
    <border>
      <left/>
      <right/>
      <top/>
      <bottom style="thin">
        <color rgb="FF9FCAD2"/>
      </bottom>
      <diagonal/>
    </border>
    <border>
      <left/>
      <right/>
      <top/>
      <bottom style="thin">
        <color rgb="FFE7B879"/>
      </bottom>
      <diagonal/>
    </border>
  </borders>
  <cellStyleXfs count="6">
    <xf numFmtId="0" fontId="0" fillId="0" borderId="0"/>
    <xf numFmtId="9" fontId="3"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37" fillId="0" borderId="0"/>
    <xf numFmtId="9" fontId="37" fillId="0" borderId="0" applyFont="0" applyFill="0" applyBorder="0" applyAlignment="0" applyProtection="0"/>
  </cellStyleXfs>
  <cellXfs count="336">
    <xf numFmtId="0" fontId="0" fillId="0" borderId="0" xfId="0"/>
    <xf numFmtId="14" fontId="0" fillId="0" borderId="0" xfId="0" applyNumberFormat="1"/>
    <xf numFmtId="0" fontId="1" fillId="0" borderId="0" xfId="0" applyFont="1"/>
    <xf numFmtId="0" fontId="0" fillId="0" borderId="0" xfId="0" applyAlignment="1">
      <alignment horizontal="left" indent="2"/>
    </xf>
    <xf numFmtId="164" fontId="0" fillId="0" borderId="0" xfId="0" applyNumberFormat="1"/>
    <xf numFmtId="0" fontId="4" fillId="0" borderId="0" xfId="0" applyFont="1" applyAlignment="1">
      <alignment horizontal="left" indent="3"/>
    </xf>
    <xf numFmtId="0" fontId="5" fillId="0" borderId="0" xfId="2"/>
    <xf numFmtId="0" fontId="0" fillId="0" borderId="0" xfId="0" applyAlignment="1">
      <alignment horizontal="center"/>
    </xf>
    <xf numFmtId="0" fontId="0" fillId="0" borderId="0" xfId="0" quotePrefix="1"/>
    <xf numFmtId="14" fontId="0" fillId="0" borderId="0" xfId="0" applyNumberFormat="1" applyAlignment="1">
      <alignment horizontal="left"/>
    </xf>
    <xf numFmtId="164" fontId="4" fillId="0" borderId="0" xfId="0" applyNumberFormat="1" applyFont="1"/>
    <xf numFmtId="0" fontId="5" fillId="0" borderId="0" xfId="2" applyFill="1"/>
    <xf numFmtId="1" fontId="0" fillId="0" borderId="0" xfId="0" applyNumberFormat="1" applyAlignment="1">
      <alignment horizontal="center"/>
    </xf>
    <xf numFmtId="168" fontId="0" fillId="0" borderId="0" xfId="0" applyNumberFormat="1"/>
    <xf numFmtId="0" fontId="10" fillId="4" borderId="2" xfId="2" applyFont="1" applyFill="1" applyBorder="1" applyAlignment="1" applyProtection="1"/>
    <xf numFmtId="0" fontId="10" fillId="4" borderId="3" xfId="2" applyFont="1" applyFill="1" applyBorder="1" applyAlignment="1" applyProtection="1">
      <alignment horizontal="left"/>
    </xf>
    <xf numFmtId="0" fontId="11" fillId="0" borderId="0" xfId="0" applyFont="1"/>
    <xf numFmtId="0" fontId="12" fillId="0" borderId="0" xfId="0" applyFont="1"/>
    <xf numFmtId="0" fontId="13" fillId="0" borderId="0" xfId="0" applyFont="1"/>
    <xf numFmtId="0" fontId="14" fillId="5" borderId="4" xfId="0" applyFont="1" applyFill="1" applyBorder="1" applyAlignment="1">
      <alignment horizontal="left" wrapText="1"/>
    </xf>
    <xf numFmtId="0" fontId="10" fillId="4" borderId="3" xfId="2" applyFont="1" applyFill="1" applyBorder="1" applyAlignment="1" applyProtection="1"/>
    <xf numFmtId="169" fontId="15" fillId="4" borderId="0" xfId="2" applyNumberFormat="1" applyFont="1" applyFill="1" applyBorder="1" applyAlignment="1" applyProtection="1">
      <alignment horizontal="left"/>
    </xf>
    <xf numFmtId="0" fontId="10" fillId="4" borderId="5" xfId="0" applyFont="1" applyFill="1" applyBorder="1" applyAlignment="1">
      <alignment horizontal="left"/>
    </xf>
    <xf numFmtId="0" fontId="10" fillId="4" borderId="0" xfId="0" applyFont="1" applyFill="1"/>
    <xf numFmtId="0" fontId="10" fillId="4" borderId="6" xfId="0" applyFont="1" applyFill="1" applyBorder="1" applyAlignment="1">
      <alignment horizontal="center"/>
    </xf>
    <xf numFmtId="3" fontId="10" fillId="6" borderId="1" xfId="0" applyNumberFormat="1" applyFont="1" applyFill="1" applyBorder="1" applyAlignment="1" applyProtection="1">
      <alignment horizontal="right"/>
      <protection locked="0"/>
    </xf>
    <xf numFmtId="0" fontId="10" fillId="0" borderId="0" xfId="0" applyFont="1"/>
    <xf numFmtId="0" fontId="16" fillId="4" borderId="5" xfId="0" applyFont="1" applyFill="1" applyBorder="1" applyAlignment="1">
      <alignment wrapText="1"/>
    </xf>
    <xf numFmtId="0" fontId="17" fillId="5" borderId="4" xfId="0" applyFont="1" applyFill="1" applyBorder="1" applyAlignment="1">
      <alignment horizontal="left" wrapText="1"/>
    </xf>
    <xf numFmtId="0" fontId="18" fillId="5" borderId="4" xfId="0" applyFont="1" applyFill="1" applyBorder="1" applyAlignment="1">
      <alignment horizontal="left" wrapText="1"/>
    </xf>
    <xf numFmtId="0" fontId="19" fillId="0" borderId="0" xfId="0" applyFont="1"/>
    <xf numFmtId="0" fontId="9" fillId="0" borderId="0" xfId="0" applyFont="1"/>
    <xf numFmtId="0" fontId="10" fillId="4" borderId="0" xfId="0" applyFont="1" applyFill="1" applyAlignment="1">
      <alignment horizontal="left"/>
    </xf>
    <xf numFmtId="0" fontId="10" fillId="4" borderId="8" xfId="2" applyFont="1" applyFill="1" applyBorder="1" applyAlignment="1" applyProtection="1"/>
    <xf numFmtId="0" fontId="10" fillId="4" borderId="9" xfId="2" applyFont="1" applyFill="1" applyBorder="1" applyAlignment="1" applyProtection="1"/>
    <xf numFmtId="166" fontId="10" fillId="4" borderId="9" xfId="1" applyNumberFormat="1" applyFont="1" applyFill="1" applyBorder="1" applyAlignment="1" applyProtection="1"/>
    <xf numFmtId="0" fontId="10" fillId="4" borderId="0" xfId="2" applyFont="1" applyFill="1" applyBorder="1" applyAlignment="1" applyProtection="1"/>
    <xf numFmtId="9" fontId="10" fillId="6" borderId="1" xfId="1" applyFont="1" applyFill="1" applyBorder="1" applyAlignment="1" applyProtection="1">
      <alignment horizontal="right"/>
      <protection locked="0"/>
    </xf>
    <xf numFmtId="165" fontId="10" fillId="6" borderId="1" xfId="0" applyNumberFormat="1" applyFont="1" applyFill="1" applyBorder="1" applyAlignment="1" applyProtection="1">
      <alignment horizontal="right"/>
      <protection locked="0"/>
    </xf>
    <xf numFmtId="166" fontId="10" fillId="6" borderId="10" xfId="1" applyNumberFormat="1" applyFont="1" applyFill="1" applyBorder="1" applyAlignment="1" applyProtection="1">
      <alignment horizontal="right"/>
      <protection locked="0"/>
    </xf>
    <xf numFmtId="166" fontId="10" fillId="6" borderId="11" xfId="1" applyNumberFormat="1" applyFont="1" applyFill="1" applyBorder="1" applyAlignment="1" applyProtection="1">
      <alignment horizontal="right"/>
      <protection locked="0"/>
    </xf>
    <xf numFmtId="9" fontId="10" fillId="4" borderId="1" xfId="1" applyFont="1" applyFill="1" applyBorder="1" applyAlignment="1" applyProtection="1">
      <alignment horizontal="right"/>
      <protection locked="0"/>
    </xf>
    <xf numFmtId="3" fontId="10" fillId="4" borderId="1" xfId="1" applyNumberFormat="1" applyFont="1" applyFill="1" applyBorder="1" applyAlignment="1" applyProtection="1">
      <alignment horizontal="right"/>
      <protection locked="0"/>
    </xf>
    <xf numFmtId="3" fontId="10" fillId="4" borderId="10" xfId="1" applyNumberFormat="1" applyFont="1" applyFill="1" applyBorder="1" applyAlignment="1" applyProtection="1">
      <alignment horizontal="right"/>
      <protection locked="0"/>
    </xf>
    <xf numFmtId="3" fontId="10" fillId="4" borderId="11" xfId="1" applyNumberFormat="1" applyFont="1" applyFill="1" applyBorder="1" applyAlignment="1" applyProtection="1">
      <alignment horizontal="right"/>
      <protection locked="0"/>
    </xf>
    <xf numFmtId="3" fontId="20" fillId="4" borderId="1" xfId="1" applyNumberFormat="1" applyFont="1" applyFill="1" applyBorder="1" applyAlignment="1" applyProtection="1">
      <alignment horizontal="right"/>
      <protection locked="0"/>
    </xf>
    <xf numFmtId="0" fontId="10" fillId="4" borderId="0" xfId="2" applyFont="1" applyFill="1" applyBorder="1" applyAlignment="1" applyProtection="1">
      <alignment horizontal="left"/>
    </xf>
    <xf numFmtId="3" fontId="10" fillId="4" borderId="1" xfId="0" applyNumberFormat="1" applyFont="1" applyFill="1" applyBorder="1" applyAlignment="1" applyProtection="1">
      <alignment horizontal="right"/>
      <protection locked="0"/>
    </xf>
    <xf numFmtId="9" fontId="10" fillId="6" borderId="0" xfId="1" applyFont="1" applyFill="1" applyBorder="1" applyAlignment="1" applyProtection="1">
      <alignment horizontal="right"/>
      <protection locked="0"/>
    </xf>
    <xf numFmtId="0" fontId="16" fillId="4" borderId="5" xfId="0" applyFont="1" applyFill="1" applyBorder="1"/>
    <xf numFmtId="165" fontId="10" fillId="4" borderId="1" xfId="0" applyNumberFormat="1" applyFont="1" applyFill="1" applyBorder="1" applyAlignment="1" applyProtection="1">
      <alignment horizontal="right"/>
      <protection locked="0"/>
    </xf>
    <xf numFmtId="0" fontId="16" fillId="4" borderId="0" xfId="0" applyFont="1" applyFill="1"/>
    <xf numFmtId="0" fontId="10" fillId="4" borderId="4" xfId="2" applyFont="1" applyFill="1" applyBorder="1" applyAlignment="1" applyProtection="1"/>
    <xf numFmtId="164" fontId="10" fillId="6" borderId="9" xfId="2" applyNumberFormat="1" applyFont="1" applyFill="1" applyBorder="1" applyAlignment="1" applyProtection="1"/>
    <xf numFmtId="4" fontId="10" fillId="6" borderId="1" xfId="0" applyNumberFormat="1" applyFont="1" applyFill="1" applyBorder="1" applyAlignment="1" applyProtection="1">
      <alignment horizontal="right"/>
      <protection locked="0"/>
    </xf>
    <xf numFmtId="3" fontId="10" fillId="4" borderId="0" xfId="1" applyNumberFormat="1" applyFont="1" applyFill="1" applyBorder="1" applyAlignment="1" applyProtection="1">
      <alignment horizontal="right"/>
      <protection locked="0"/>
    </xf>
    <xf numFmtId="0" fontId="14" fillId="5" borderId="4" xfId="0" applyFont="1" applyFill="1" applyBorder="1" applyAlignment="1">
      <alignment horizontal="left"/>
    </xf>
    <xf numFmtId="0" fontId="17" fillId="5" borderId="4" xfId="0" applyFont="1" applyFill="1" applyBorder="1" applyAlignment="1">
      <alignment horizontal="left"/>
    </xf>
    <xf numFmtId="9" fontId="10" fillId="7" borderId="1" xfId="1" applyFont="1" applyFill="1" applyBorder="1" applyAlignment="1" applyProtection="1">
      <alignment horizontal="right"/>
      <protection locked="0"/>
    </xf>
    <xf numFmtId="0" fontId="14" fillId="5" borderId="4" xfId="0" applyFont="1" applyFill="1" applyBorder="1"/>
    <xf numFmtId="164" fontId="10" fillId="6" borderId="0" xfId="2" applyNumberFormat="1" applyFont="1" applyFill="1" applyBorder="1" applyAlignment="1" applyProtection="1"/>
    <xf numFmtId="2" fontId="0" fillId="7" borderId="0" xfId="0" applyNumberFormat="1" applyFill="1"/>
    <xf numFmtId="164" fontId="0" fillId="7" borderId="0" xfId="0" applyNumberFormat="1" applyFill="1"/>
    <xf numFmtId="165" fontId="10" fillId="4" borderId="0" xfId="1" applyNumberFormat="1" applyFont="1" applyFill="1" applyBorder="1" applyAlignment="1" applyProtection="1">
      <alignment horizontal="right"/>
      <protection locked="0"/>
    </xf>
    <xf numFmtId="165" fontId="10" fillId="4" borderId="4" xfId="1" applyNumberFormat="1" applyFont="1" applyFill="1" applyBorder="1" applyAlignment="1" applyProtection="1">
      <alignment horizontal="right"/>
      <protection locked="0"/>
    </xf>
    <xf numFmtId="165" fontId="10" fillId="4" borderId="12" xfId="1" applyNumberFormat="1" applyFont="1" applyFill="1" applyBorder="1" applyAlignment="1" applyProtection="1">
      <alignment horizontal="right"/>
      <protection locked="0"/>
    </xf>
    <xf numFmtId="164" fontId="10" fillId="6" borderId="4" xfId="2" applyNumberFormat="1" applyFont="1" applyFill="1" applyBorder="1" applyAlignment="1" applyProtection="1"/>
    <xf numFmtId="0" fontId="10" fillId="4" borderId="7" xfId="2" applyFont="1" applyFill="1" applyBorder="1" applyAlignment="1" applyProtection="1"/>
    <xf numFmtId="0" fontId="20" fillId="4" borderId="7" xfId="2" applyFont="1" applyFill="1" applyBorder="1" applyAlignment="1" applyProtection="1"/>
    <xf numFmtId="0" fontId="20" fillId="4" borderId="13" xfId="2" applyFont="1" applyFill="1" applyBorder="1" applyAlignment="1" applyProtection="1"/>
    <xf numFmtId="0" fontId="20" fillId="4" borderId="13" xfId="2" applyFont="1" applyFill="1" applyBorder="1" applyAlignment="1" applyProtection="1">
      <alignment horizontal="left"/>
    </xf>
    <xf numFmtId="0" fontId="10" fillId="4" borderId="14" xfId="2" applyFont="1" applyFill="1" applyBorder="1" applyAlignment="1" applyProtection="1"/>
    <xf numFmtId="165" fontId="23" fillId="4" borderId="7" xfId="1" applyNumberFormat="1" applyFont="1" applyFill="1" applyBorder="1" applyAlignment="1" applyProtection="1">
      <alignment horizontal="right"/>
      <protection locked="0"/>
    </xf>
    <xf numFmtId="0" fontId="22" fillId="4" borderId="0" xfId="0" applyFont="1" applyFill="1" applyAlignment="1">
      <alignment wrapText="1"/>
    </xf>
    <xf numFmtId="0" fontId="12" fillId="0" borderId="15" xfId="0" applyFont="1" applyBorder="1"/>
    <xf numFmtId="0" fontId="12" fillId="0" borderId="16" xfId="0" applyFont="1" applyBorder="1"/>
    <xf numFmtId="0" fontId="12" fillId="0" borderId="17" xfId="0" applyFont="1" applyBorder="1"/>
    <xf numFmtId="0" fontId="12" fillId="0" borderId="18" xfId="0" applyFont="1" applyBorder="1"/>
    <xf numFmtId="0" fontId="10" fillId="4" borderId="3" xfId="2" applyFont="1" applyFill="1" applyBorder="1" applyAlignment="1" applyProtection="1">
      <alignment horizontal="left" indent="1"/>
    </xf>
    <xf numFmtId="165" fontId="10" fillId="4" borderId="9" xfId="2" applyNumberFormat="1" applyFont="1" applyFill="1" applyBorder="1" applyAlignment="1" applyProtection="1"/>
    <xf numFmtId="9" fontId="12" fillId="0" borderId="0" xfId="1" applyFont="1"/>
    <xf numFmtId="0" fontId="22" fillId="4" borderId="0" xfId="0" applyFont="1" applyFill="1"/>
    <xf numFmtId="0" fontId="25" fillId="4" borderId="3" xfId="2" applyFont="1" applyFill="1" applyBorder="1" applyAlignment="1" applyProtection="1"/>
    <xf numFmtId="165" fontId="10" fillId="7" borderId="1" xfId="1" applyNumberFormat="1" applyFont="1" applyFill="1" applyBorder="1" applyAlignment="1" applyProtection="1">
      <alignment horizontal="right"/>
      <protection locked="0"/>
    </xf>
    <xf numFmtId="0" fontId="10" fillId="4" borderId="3" xfId="2" applyFont="1" applyFill="1" applyBorder="1" applyAlignment="1" applyProtection="1">
      <alignment wrapText="1"/>
    </xf>
    <xf numFmtId="4" fontId="10" fillId="4" borderId="0" xfId="2" applyNumberFormat="1" applyFont="1" applyFill="1" applyBorder="1" applyAlignment="1" applyProtection="1"/>
    <xf numFmtId="4" fontId="10" fillId="6" borderId="0" xfId="0" applyNumberFormat="1" applyFont="1" applyFill="1" applyAlignment="1" applyProtection="1">
      <alignment horizontal="right"/>
      <protection locked="0"/>
    </xf>
    <xf numFmtId="167" fontId="10" fillId="6" borderId="0" xfId="0" applyNumberFormat="1" applyFont="1" applyFill="1" applyAlignment="1" applyProtection="1">
      <alignment horizontal="right"/>
      <protection locked="0"/>
    </xf>
    <xf numFmtId="167" fontId="10" fillId="4" borderId="0" xfId="2" applyNumberFormat="1" applyFont="1" applyFill="1" applyBorder="1" applyAlignment="1" applyProtection="1"/>
    <xf numFmtId="165" fontId="10" fillId="7" borderId="1" xfId="1" applyNumberFormat="1" applyFont="1" applyFill="1" applyBorder="1" applyAlignment="1" applyProtection="1">
      <alignment horizontal="left"/>
      <protection locked="0"/>
    </xf>
    <xf numFmtId="165" fontId="10" fillId="4" borderId="0" xfId="2" applyNumberFormat="1" applyFont="1" applyFill="1" applyBorder="1" applyAlignment="1" applyProtection="1"/>
    <xf numFmtId="3" fontId="10" fillId="4" borderId="0" xfId="2" applyNumberFormat="1" applyFont="1" applyFill="1" applyBorder="1" applyAlignment="1" applyProtection="1"/>
    <xf numFmtId="4" fontId="20" fillId="4" borderId="0" xfId="2" applyNumberFormat="1" applyFont="1" applyFill="1" applyBorder="1" applyAlignment="1" applyProtection="1"/>
    <xf numFmtId="166" fontId="10" fillId="6" borderId="1" xfId="1" applyNumberFormat="1" applyFont="1" applyFill="1" applyBorder="1" applyAlignment="1" applyProtection="1">
      <alignment horizontal="right"/>
      <protection locked="0"/>
    </xf>
    <xf numFmtId="166" fontId="10" fillId="4" borderId="0" xfId="1" applyNumberFormat="1" applyFont="1" applyFill="1" applyBorder="1" applyAlignment="1" applyProtection="1"/>
    <xf numFmtId="0" fontId="16" fillId="4" borderId="5" xfId="0" applyFont="1" applyFill="1" applyBorder="1" applyAlignment="1">
      <alignment horizontal="left"/>
    </xf>
    <xf numFmtId="0" fontId="10" fillId="4" borderId="0" xfId="2" applyFont="1" applyFill="1" applyBorder="1" applyAlignment="1" applyProtection="1">
      <alignment wrapText="1"/>
    </xf>
    <xf numFmtId="165" fontId="10" fillId="4" borderId="1" xfId="1" applyNumberFormat="1" applyFont="1" applyFill="1" applyBorder="1" applyAlignment="1" applyProtection="1">
      <alignment horizontal="right"/>
      <protection locked="0"/>
    </xf>
    <xf numFmtId="166" fontId="10" fillId="4" borderId="0" xfId="1" applyNumberFormat="1" applyFont="1" applyFill="1" applyBorder="1" applyAlignment="1" applyProtection="1">
      <alignment horizontal="right"/>
      <protection locked="0"/>
    </xf>
    <xf numFmtId="4" fontId="10" fillId="4" borderId="1" xfId="1" applyNumberFormat="1" applyFont="1" applyFill="1" applyBorder="1" applyAlignment="1" applyProtection="1">
      <alignment horizontal="right"/>
      <protection locked="0"/>
    </xf>
    <xf numFmtId="3" fontId="10" fillId="4" borderId="3" xfId="2" applyNumberFormat="1" applyFont="1" applyFill="1" applyBorder="1" applyAlignment="1" applyProtection="1">
      <alignment wrapText="1"/>
    </xf>
    <xf numFmtId="3" fontId="10" fillId="4" borderId="0" xfId="2" applyNumberFormat="1" applyFont="1" applyFill="1" applyBorder="1" applyAlignment="1" applyProtection="1">
      <alignment wrapText="1"/>
    </xf>
    <xf numFmtId="0" fontId="20" fillId="4" borderId="3" xfId="2" applyFont="1" applyFill="1" applyBorder="1" applyAlignment="1" applyProtection="1"/>
    <xf numFmtId="3" fontId="10" fillId="7" borderId="1" xfId="1" applyNumberFormat="1" applyFont="1" applyFill="1" applyBorder="1" applyAlignment="1" applyProtection="1">
      <alignment horizontal="right"/>
      <protection locked="0"/>
    </xf>
    <xf numFmtId="166" fontId="10" fillId="4" borderId="1" xfId="1" applyNumberFormat="1" applyFont="1" applyFill="1" applyBorder="1" applyAlignment="1" applyProtection="1">
      <alignment horizontal="right"/>
      <protection locked="0"/>
    </xf>
    <xf numFmtId="0" fontId="20" fillId="4" borderId="3" xfId="2" applyFont="1" applyFill="1" applyBorder="1" applyAlignment="1" applyProtection="1">
      <alignment horizontal="left"/>
    </xf>
    <xf numFmtId="0" fontId="10" fillId="4" borderId="3" xfId="2" quotePrefix="1" applyFont="1" applyFill="1" applyBorder="1" applyAlignment="1" applyProtection="1"/>
    <xf numFmtId="4" fontId="10" fillId="7" borderId="1" xfId="1" applyNumberFormat="1" applyFont="1" applyFill="1" applyBorder="1" applyAlignment="1" applyProtection="1">
      <alignment horizontal="right"/>
      <protection locked="0"/>
    </xf>
    <xf numFmtId="3" fontId="10" fillId="4" borderId="3" xfId="2" applyNumberFormat="1" applyFont="1" applyFill="1" applyBorder="1" applyAlignment="1" applyProtection="1">
      <alignment horizontal="right"/>
    </xf>
    <xf numFmtId="167" fontId="10" fillId="4" borderId="3" xfId="2" applyNumberFormat="1" applyFont="1" applyFill="1" applyBorder="1" applyAlignment="1" applyProtection="1">
      <alignment horizontal="right"/>
    </xf>
    <xf numFmtId="167" fontId="10" fillId="6" borderId="1" xfId="0" applyNumberFormat="1" applyFont="1" applyFill="1" applyBorder="1" applyAlignment="1" applyProtection="1">
      <alignment horizontal="right"/>
      <protection locked="0"/>
    </xf>
    <xf numFmtId="166" fontId="10" fillId="6" borderId="0" xfId="1" applyNumberFormat="1" applyFont="1" applyFill="1" applyBorder="1" applyAlignment="1" applyProtection="1">
      <alignment horizontal="right"/>
      <protection locked="0"/>
    </xf>
    <xf numFmtId="3" fontId="10" fillId="4" borderId="9" xfId="1" applyNumberFormat="1" applyFont="1" applyFill="1" applyBorder="1" applyAlignment="1" applyProtection="1"/>
    <xf numFmtId="3" fontId="10" fillId="4" borderId="0" xfId="2" applyNumberFormat="1" applyFont="1" applyFill="1" applyBorder="1" applyAlignment="1" applyProtection="1">
      <alignment horizontal="right"/>
    </xf>
    <xf numFmtId="9" fontId="10" fillId="4" borderId="0" xfId="1" applyFont="1" applyFill="1" applyBorder="1" applyAlignment="1" applyProtection="1">
      <alignment horizontal="right"/>
    </xf>
    <xf numFmtId="2" fontId="10" fillId="4" borderId="0" xfId="1" applyNumberFormat="1" applyFont="1" applyFill="1" applyBorder="1" applyAlignment="1" applyProtection="1">
      <alignment horizontal="right"/>
    </xf>
    <xf numFmtId="167" fontId="10" fillId="7" borderId="1" xfId="1" applyNumberFormat="1" applyFont="1" applyFill="1" applyBorder="1" applyAlignment="1" applyProtection="1">
      <alignment horizontal="right"/>
      <protection locked="0"/>
    </xf>
    <xf numFmtId="168" fontId="10" fillId="4" borderId="0" xfId="1" applyNumberFormat="1" applyFont="1" applyFill="1" applyBorder="1" applyAlignment="1" applyProtection="1">
      <alignment horizontal="right"/>
    </xf>
    <xf numFmtId="166" fontId="10" fillId="4" borderId="3" xfId="1" applyNumberFormat="1" applyFont="1" applyFill="1" applyBorder="1" applyAlignment="1" applyProtection="1">
      <alignment horizontal="right"/>
    </xf>
    <xf numFmtId="166" fontId="10" fillId="4" borderId="0" xfId="1" applyNumberFormat="1" applyFont="1" applyFill="1" applyBorder="1" applyAlignment="1" applyProtection="1">
      <alignment horizontal="right"/>
    </xf>
    <xf numFmtId="165" fontId="10" fillId="4" borderId="9" xfId="1" applyNumberFormat="1" applyFont="1" applyFill="1" applyBorder="1" applyAlignment="1" applyProtection="1"/>
    <xf numFmtId="3" fontId="10" fillId="4" borderId="17" xfId="2" applyNumberFormat="1" applyFont="1" applyFill="1" applyBorder="1" applyAlignment="1" applyProtection="1"/>
    <xf numFmtId="3" fontId="10" fillId="7" borderId="1" xfId="1" applyNumberFormat="1" applyFont="1" applyFill="1" applyBorder="1" applyAlignment="1" applyProtection="1">
      <alignment horizontal="left"/>
      <protection locked="0"/>
    </xf>
    <xf numFmtId="0" fontId="26" fillId="5" borderId="4" xfId="0" applyFont="1" applyFill="1" applyBorder="1" applyAlignment="1">
      <alignment horizontal="left" wrapText="1"/>
    </xf>
    <xf numFmtId="0" fontId="26" fillId="5" borderId="4" xfId="0" applyFont="1" applyFill="1" applyBorder="1" applyAlignment="1">
      <alignment horizontal="left"/>
    </xf>
    <xf numFmtId="169" fontId="15" fillId="0" borderId="0" xfId="2" applyNumberFormat="1" applyFont="1" applyFill="1" applyBorder="1" applyAlignment="1" applyProtection="1">
      <alignment horizontal="left"/>
    </xf>
    <xf numFmtId="1" fontId="12" fillId="0" borderId="0" xfId="0" applyNumberFormat="1" applyFont="1"/>
    <xf numFmtId="0" fontId="20" fillId="4" borderId="3" xfId="2" applyFont="1" applyFill="1" applyBorder="1" applyAlignment="1" applyProtection="1">
      <alignment horizontal="right"/>
    </xf>
    <xf numFmtId="3" fontId="10" fillId="4" borderId="1" xfId="1" applyNumberFormat="1" applyFont="1" applyFill="1" applyBorder="1" applyAlignment="1" applyProtection="1">
      <alignment horizontal="left"/>
      <protection locked="0"/>
    </xf>
    <xf numFmtId="0" fontId="10" fillId="0" borderId="0" xfId="0" applyFont="1" applyAlignment="1">
      <alignment horizontal="center"/>
    </xf>
    <xf numFmtId="167" fontId="10" fillId="4" borderId="1" xfId="1" applyNumberFormat="1" applyFont="1" applyFill="1" applyBorder="1" applyAlignment="1" applyProtection="1">
      <alignment horizontal="right"/>
      <protection locked="0"/>
    </xf>
    <xf numFmtId="3" fontId="10" fillId="6" borderId="0" xfId="0" applyNumberFormat="1" applyFont="1" applyFill="1" applyAlignment="1" applyProtection="1">
      <alignment horizontal="right"/>
      <protection locked="0"/>
    </xf>
    <xf numFmtId="3" fontId="10" fillId="4" borderId="0" xfId="1" applyNumberFormat="1" applyFont="1" applyFill="1" applyBorder="1" applyAlignment="1" applyProtection="1">
      <alignment horizontal="left"/>
      <protection locked="0"/>
    </xf>
    <xf numFmtId="0" fontId="20" fillId="4" borderId="3" xfId="2" applyFont="1" applyFill="1" applyBorder="1" applyAlignment="1" applyProtection="1">
      <alignment wrapText="1"/>
    </xf>
    <xf numFmtId="3" fontId="20" fillId="4" borderId="0" xfId="2" applyNumberFormat="1" applyFont="1" applyFill="1" applyBorder="1" applyAlignment="1" applyProtection="1"/>
    <xf numFmtId="0" fontId="29" fillId="0" borderId="0" xfId="0" applyFont="1"/>
    <xf numFmtId="4" fontId="20" fillId="4" borderId="1" xfId="1" applyNumberFormat="1" applyFont="1" applyFill="1" applyBorder="1" applyAlignment="1" applyProtection="1">
      <alignment horizontal="right"/>
      <protection locked="0"/>
    </xf>
    <xf numFmtId="0" fontId="20" fillId="4" borderId="0" xfId="2" applyFont="1" applyFill="1" applyBorder="1" applyAlignment="1" applyProtection="1">
      <alignment wrapText="1"/>
    </xf>
    <xf numFmtId="4" fontId="10" fillId="4" borderId="0" xfId="1" applyNumberFormat="1" applyFont="1" applyFill="1" applyBorder="1" applyAlignment="1" applyProtection="1">
      <alignment horizontal="right"/>
      <protection locked="0"/>
    </xf>
    <xf numFmtId="0" fontId="25" fillId="4" borderId="3" xfId="2" applyFont="1" applyFill="1" applyBorder="1" applyAlignment="1" applyProtection="1">
      <alignment horizontal="left"/>
    </xf>
    <xf numFmtId="0" fontId="30" fillId="4" borderId="3" xfId="2" applyFont="1" applyFill="1" applyBorder="1" applyAlignment="1" applyProtection="1">
      <alignment horizontal="left"/>
    </xf>
    <xf numFmtId="0" fontId="10" fillId="0" borderId="0" xfId="0" applyFont="1" applyAlignment="1">
      <alignment horizontal="left"/>
    </xf>
    <xf numFmtId="3" fontId="12" fillId="0" borderId="0" xfId="0" applyNumberFormat="1" applyFont="1"/>
    <xf numFmtId="9" fontId="10" fillId="7" borderId="1" xfId="1" applyFont="1" applyFill="1" applyBorder="1" applyAlignment="1" applyProtection="1">
      <alignment horizontal="left"/>
      <protection locked="0"/>
    </xf>
    <xf numFmtId="9" fontId="5" fillId="0" borderId="1" xfId="2" applyNumberFormat="1" applyFill="1" applyBorder="1" applyAlignment="1" applyProtection="1">
      <alignment horizontal="left"/>
      <protection locked="0"/>
    </xf>
    <xf numFmtId="4" fontId="10" fillId="4" borderId="0" xfId="2" applyNumberFormat="1" applyFont="1" applyFill="1" applyBorder="1" applyAlignment="1" applyProtection="1">
      <alignment horizontal="left"/>
    </xf>
    <xf numFmtId="1" fontId="10" fillId="7" borderId="1" xfId="1" applyNumberFormat="1" applyFont="1" applyFill="1" applyBorder="1" applyAlignment="1" applyProtection="1">
      <alignment horizontal="right"/>
      <protection locked="0"/>
    </xf>
    <xf numFmtId="170" fontId="10" fillId="7" borderId="1" xfId="1" applyNumberFormat="1" applyFont="1" applyFill="1" applyBorder="1" applyAlignment="1" applyProtection="1">
      <alignment horizontal="right"/>
      <protection locked="0"/>
    </xf>
    <xf numFmtId="9" fontId="10" fillId="4" borderId="0" xfId="1" applyFont="1" applyFill="1" applyBorder="1" applyAlignment="1" applyProtection="1">
      <alignment horizontal="right"/>
      <protection locked="0"/>
    </xf>
    <xf numFmtId="164" fontId="10" fillId="0" borderId="0" xfId="0" applyNumberFormat="1" applyFont="1" applyAlignment="1">
      <alignment horizontal="center"/>
    </xf>
    <xf numFmtId="164" fontId="10" fillId="0" borderId="0" xfId="0" applyNumberFormat="1" applyFont="1" applyAlignment="1">
      <alignment horizontal="left"/>
    </xf>
    <xf numFmtId="3" fontId="31" fillId="4" borderId="1" xfId="1" applyNumberFormat="1" applyFont="1" applyFill="1" applyBorder="1" applyAlignment="1" applyProtection="1">
      <alignment horizontal="right"/>
      <protection locked="0"/>
    </xf>
    <xf numFmtId="165" fontId="20" fillId="4" borderId="1" xfId="0" applyNumberFormat="1" applyFont="1" applyFill="1" applyBorder="1" applyAlignment="1" applyProtection="1">
      <alignment horizontal="right"/>
      <protection locked="0"/>
    </xf>
    <xf numFmtId="9" fontId="10" fillId="0" borderId="0" xfId="0" applyNumberFormat="1" applyFont="1"/>
    <xf numFmtId="165" fontId="10" fillId="4" borderId="0" xfId="0" applyNumberFormat="1" applyFont="1" applyFill="1" applyAlignment="1" applyProtection="1">
      <alignment horizontal="right"/>
      <protection locked="0"/>
    </xf>
    <xf numFmtId="0" fontId="10" fillId="4" borderId="3" xfId="2" applyFont="1" applyFill="1" applyBorder="1" applyAlignment="1" applyProtection="1">
      <alignment horizontal="right"/>
    </xf>
    <xf numFmtId="2" fontId="10" fillId="6" borderId="0" xfId="2" applyNumberFormat="1" applyFont="1" applyFill="1" applyBorder="1" applyAlignment="1" applyProtection="1"/>
    <xf numFmtId="165" fontId="10" fillId="6" borderId="0" xfId="2" applyNumberFormat="1" applyFont="1" applyFill="1" applyBorder="1" applyAlignment="1" applyProtection="1"/>
    <xf numFmtId="0" fontId="20" fillId="4" borderId="2" xfId="2" applyFont="1" applyFill="1" applyBorder="1" applyAlignment="1" applyProtection="1"/>
    <xf numFmtId="3" fontId="32" fillId="4" borderId="1" xfId="1" applyNumberFormat="1" applyFont="1" applyFill="1" applyBorder="1" applyAlignment="1" applyProtection="1">
      <alignment horizontal="right"/>
      <protection locked="0"/>
    </xf>
    <xf numFmtId="167" fontId="32" fillId="4" borderId="1" xfId="1" applyNumberFormat="1" applyFont="1" applyFill="1" applyBorder="1" applyAlignment="1" applyProtection="1">
      <alignment horizontal="right"/>
      <protection locked="0"/>
    </xf>
    <xf numFmtId="2" fontId="10" fillId="4" borderId="0" xfId="2" applyNumberFormat="1" applyFont="1" applyFill="1" applyBorder="1" applyAlignment="1" applyProtection="1"/>
    <xf numFmtId="164" fontId="10" fillId="4" borderId="1" xfId="1" applyNumberFormat="1" applyFont="1" applyFill="1" applyBorder="1" applyAlignment="1" applyProtection="1">
      <alignment horizontal="right"/>
      <protection locked="0"/>
    </xf>
    <xf numFmtId="3" fontId="10" fillId="6" borderId="0" xfId="2" applyNumberFormat="1" applyFont="1" applyFill="1" applyBorder="1" applyAlignment="1" applyProtection="1"/>
    <xf numFmtId="0" fontId="5" fillId="4" borderId="0" xfId="2" applyFill="1" applyBorder="1" applyAlignment="1" applyProtection="1"/>
    <xf numFmtId="164" fontId="10" fillId="4" borderId="0" xfId="2" applyNumberFormat="1" applyFont="1" applyFill="1" applyBorder="1" applyAlignment="1" applyProtection="1"/>
    <xf numFmtId="0" fontId="20" fillId="4" borderId="2" xfId="2" applyFont="1" applyFill="1" applyBorder="1" applyAlignment="1" applyProtection="1">
      <alignment horizontal="right"/>
    </xf>
    <xf numFmtId="4" fontId="10" fillId="6" borderId="0" xfId="2" applyNumberFormat="1" applyFont="1" applyFill="1" applyBorder="1" applyAlignment="1" applyProtection="1"/>
    <xf numFmtId="0" fontId="8" fillId="0" borderId="0" xfId="0" applyFont="1"/>
    <xf numFmtId="0" fontId="33" fillId="0" borderId="0" xfId="0" applyFont="1"/>
    <xf numFmtId="0" fontId="0" fillId="0" borderId="19" xfId="0" applyBorder="1" applyAlignment="1">
      <alignment horizontal="center"/>
    </xf>
    <xf numFmtId="0" fontId="0" fillId="10" borderId="0" xfId="0" applyFill="1"/>
    <xf numFmtId="0" fontId="35" fillId="0" borderId="0" xfId="0" applyFont="1"/>
    <xf numFmtId="164" fontId="10" fillId="4" borderId="0" xfId="1" applyNumberFormat="1" applyFont="1" applyFill="1" applyBorder="1" applyAlignment="1" applyProtection="1">
      <alignment horizontal="right"/>
      <protection locked="0"/>
    </xf>
    <xf numFmtId="0" fontId="38" fillId="0" borderId="0" xfId="4" applyFont="1" applyAlignment="1">
      <alignment horizontal="left" vertical="center"/>
    </xf>
    <xf numFmtId="0" fontId="37" fillId="0" borderId="0" xfId="4"/>
    <xf numFmtId="0" fontId="39" fillId="0" borderId="0" xfId="4" applyFont="1" applyAlignment="1">
      <alignment horizontal="left" vertical="center"/>
    </xf>
    <xf numFmtId="0" fontId="40" fillId="0" borderId="0" xfId="4" applyFont="1"/>
    <xf numFmtId="0" fontId="41" fillId="11" borderId="29" xfId="4" applyFont="1" applyFill="1" applyBorder="1" applyAlignment="1">
      <alignment vertical="center"/>
    </xf>
    <xf numFmtId="0" fontId="41" fillId="11" borderId="30" xfId="4" applyFont="1" applyFill="1" applyBorder="1" applyAlignment="1">
      <alignment horizontal="left" vertical="center"/>
    </xf>
    <xf numFmtId="0" fontId="41" fillId="11" borderId="29" xfId="4" applyFont="1" applyFill="1" applyBorder="1" applyAlignment="1">
      <alignment horizontal="left" vertical="center"/>
    </xf>
    <xf numFmtId="0" fontId="39" fillId="12" borderId="29" xfId="4" applyFont="1" applyFill="1" applyBorder="1" applyAlignment="1">
      <alignment horizontal="left" vertical="center"/>
    </xf>
    <xf numFmtId="0" fontId="37" fillId="13" borderId="0" xfId="4" applyFill="1"/>
    <xf numFmtId="0" fontId="39" fillId="14" borderId="29" xfId="4" applyFont="1" applyFill="1" applyBorder="1" applyAlignment="1">
      <alignment horizontal="left" vertical="center"/>
    </xf>
    <xf numFmtId="165" fontId="38" fillId="0" borderId="0" xfId="4" applyNumberFormat="1" applyFont="1" applyAlignment="1">
      <alignment horizontal="left" vertical="center" shrinkToFit="1"/>
    </xf>
    <xf numFmtId="165" fontId="38" fillId="0" borderId="0" xfId="4" applyNumberFormat="1" applyFont="1" applyAlignment="1">
      <alignment horizontal="right" vertical="center" shrinkToFit="1"/>
    </xf>
    <xf numFmtId="3" fontId="37" fillId="0" borderId="0" xfId="4" applyNumberFormat="1"/>
    <xf numFmtId="9" fontId="0" fillId="0" borderId="0" xfId="5" applyFont="1"/>
    <xf numFmtId="165" fontId="38" fillId="16" borderId="0" xfId="4" applyNumberFormat="1" applyFont="1" applyFill="1" applyAlignment="1">
      <alignment horizontal="right" vertical="center" shrinkToFit="1"/>
    </xf>
    <xf numFmtId="165" fontId="38" fillId="16" borderId="0" xfId="4" applyNumberFormat="1" applyFont="1" applyFill="1" applyAlignment="1">
      <alignment horizontal="left" vertical="center" shrinkToFit="1"/>
    </xf>
    <xf numFmtId="0" fontId="42" fillId="0" borderId="0" xfId="4" applyFont="1"/>
    <xf numFmtId="3" fontId="42" fillId="0" borderId="0" xfId="4" applyNumberFormat="1" applyFont="1"/>
    <xf numFmtId="9" fontId="42" fillId="0" borderId="0" xfId="5" applyFont="1"/>
    <xf numFmtId="165" fontId="0" fillId="4" borderId="19" xfId="1" applyNumberFormat="1" applyFont="1" applyFill="1" applyBorder="1"/>
    <xf numFmtId="3" fontId="1" fillId="4" borderId="19" xfId="1" applyNumberFormat="1" applyFont="1" applyFill="1" applyBorder="1"/>
    <xf numFmtId="0" fontId="10" fillId="0" borderId="3" xfId="2" applyFont="1" applyFill="1" applyBorder="1" applyAlignment="1" applyProtection="1">
      <alignment horizontal="left"/>
    </xf>
    <xf numFmtId="9" fontId="10" fillId="6" borderId="9" xfId="1" applyFont="1" applyFill="1" applyBorder="1" applyAlignment="1" applyProtection="1"/>
    <xf numFmtId="0" fontId="43" fillId="0" borderId="0" xfId="0" applyFont="1"/>
    <xf numFmtId="4" fontId="43" fillId="0" borderId="0" xfId="0" applyNumberFormat="1" applyFont="1"/>
    <xf numFmtId="3" fontId="20" fillId="4" borderId="0" xfId="1" applyNumberFormat="1" applyFont="1" applyFill="1" applyBorder="1" applyAlignment="1" applyProtection="1">
      <alignment horizontal="right"/>
      <protection locked="0"/>
    </xf>
    <xf numFmtId="167" fontId="20" fillId="4" borderId="1" xfId="1" applyNumberFormat="1" applyFont="1" applyFill="1" applyBorder="1" applyAlignment="1" applyProtection="1">
      <alignment horizontal="right"/>
      <protection locked="0"/>
    </xf>
    <xf numFmtId="0" fontId="44" fillId="0" borderId="0" xfId="0" applyFont="1"/>
    <xf numFmtId="3" fontId="10" fillId="0" borderId="0" xfId="0" applyNumberFormat="1" applyFont="1"/>
    <xf numFmtId="0" fontId="20" fillId="4" borderId="0" xfId="2" applyFont="1" applyFill="1" applyBorder="1" applyAlignment="1" applyProtection="1"/>
    <xf numFmtId="0" fontId="0" fillId="8" borderId="0" xfId="0" applyFill="1"/>
    <xf numFmtId="3" fontId="20" fillId="0" borderId="0" xfId="0" applyNumberFormat="1" applyFont="1"/>
    <xf numFmtId="0" fontId="45" fillId="0" borderId="0" xfId="0" applyFont="1"/>
    <xf numFmtId="0" fontId="10" fillId="4" borderId="3" xfId="3" applyFont="1" applyFill="1" applyBorder="1" applyAlignment="1">
      <alignment wrapText="1"/>
    </xf>
    <xf numFmtId="3" fontId="10" fillId="4" borderId="0" xfId="3" applyNumberFormat="1" applyFont="1" applyFill="1"/>
    <xf numFmtId="0" fontId="10" fillId="4" borderId="3" xfId="3" applyFont="1" applyFill="1" applyBorder="1"/>
    <xf numFmtId="0" fontId="10" fillId="4" borderId="3" xfId="3" applyFont="1" applyFill="1" applyBorder="1" applyAlignment="1">
      <alignment horizontal="left"/>
    </xf>
    <xf numFmtId="3" fontId="10" fillId="4" borderId="0" xfId="1" applyNumberFormat="1" applyFont="1" applyFill="1" applyAlignment="1" applyProtection="1">
      <alignment horizontal="right"/>
      <protection locked="0"/>
    </xf>
    <xf numFmtId="165" fontId="10" fillId="4" borderId="0" xfId="1" applyNumberFormat="1" applyFont="1" applyFill="1" applyAlignment="1" applyProtection="1">
      <alignment horizontal="right"/>
      <protection locked="0"/>
    </xf>
    <xf numFmtId="0" fontId="10" fillId="4" borderId="2" xfId="3" applyFont="1" applyFill="1" applyBorder="1"/>
    <xf numFmtId="3" fontId="20" fillId="4" borderId="0" xfId="1" applyNumberFormat="1" applyFont="1" applyFill="1" applyAlignment="1" applyProtection="1">
      <alignment horizontal="right"/>
      <protection locked="0"/>
    </xf>
    <xf numFmtId="0" fontId="10" fillId="4" borderId="0" xfId="3" applyFont="1" applyFill="1" applyAlignment="1">
      <alignment wrapText="1"/>
    </xf>
    <xf numFmtId="0" fontId="20" fillId="4" borderId="3" xfId="3" applyFont="1" applyFill="1" applyBorder="1"/>
    <xf numFmtId="165" fontId="20" fillId="4" borderId="1" xfId="1" applyNumberFormat="1" applyFont="1" applyFill="1" applyBorder="1" applyAlignment="1" applyProtection="1">
      <alignment horizontal="right"/>
      <protection locked="0"/>
    </xf>
    <xf numFmtId="0" fontId="20" fillId="4" borderId="3" xfId="3" applyFont="1" applyFill="1" applyBorder="1" applyAlignment="1">
      <alignment wrapText="1"/>
    </xf>
    <xf numFmtId="4" fontId="12" fillId="0" borderId="0" xfId="0" applyNumberFormat="1" applyFont="1"/>
    <xf numFmtId="0" fontId="20" fillId="4" borderId="0" xfId="3" applyFont="1" applyFill="1"/>
    <xf numFmtId="0" fontId="20" fillId="4" borderId="0" xfId="3" applyFont="1" applyFill="1" applyBorder="1"/>
    <xf numFmtId="0" fontId="20" fillId="4" borderId="0" xfId="3" applyFont="1" applyFill="1" applyBorder="1" applyAlignment="1">
      <alignment wrapText="1"/>
    </xf>
    <xf numFmtId="165" fontId="20" fillId="4" borderId="0" xfId="1" applyNumberFormat="1" applyFont="1" applyFill="1" applyBorder="1" applyAlignment="1" applyProtection="1">
      <alignment horizontal="right"/>
      <protection locked="0"/>
    </xf>
    <xf numFmtId="0" fontId="20" fillId="4" borderId="3" xfId="3" applyFont="1" applyFill="1" applyBorder="1" applyAlignment="1">
      <alignment horizontal="left"/>
    </xf>
    <xf numFmtId="0" fontId="10" fillId="4" borderId="0" xfId="2" applyFont="1" applyFill="1" applyBorder="1" applyAlignment="1" applyProtection="1">
      <alignment horizontal="right"/>
    </xf>
    <xf numFmtId="3" fontId="10" fillId="0" borderId="1" xfId="1" applyNumberFormat="1" applyFont="1" applyFill="1" applyBorder="1" applyAlignment="1" applyProtection="1">
      <alignment horizontal="right"/>
      <protection locked="0"/>
    </xf>
    <xf numFmtId="1" fontId="10" fillId="6" borderId="0" xfId="2" applyNumberFormat="1" applyFont="1" applyFill="1" applyBorder="1" applyAlignment="1" applyProtection="1"/>
    <xf numFmtId="3" fontId="10" fillId="2" borderId="1" xfId="1" applyNumberFormat="1" applyFont="1" applyFill="1" applyBorder="1" applyAlignment="1" applyProtection="1">
      <alignment horizontal="right"/>
      <protection locked="0"/>
    </xf>
    <xf numFmtId="0" fontId="16" fillId="0" borderId="0" xfId="0" applyFont="1"/>
    <xf numFmtId="165" fontId="10" fillId="0" borderId="0" xfId="1" applyNumberFormat="1" applyFont="1" applyFill="1" applyBorder="1" applyAlignment="1" applyProtection="1">
      <alignment horizontal="right"/>
      <protection locked="0"/>
    </xf>
    <xf numFmtId="166" fontId="10" fillId="0" borderId="0" xfId="1" applyNumberFormat="1" applyFont="1" applyFill="1" applyBorder="1" applyAlignment="1" applyProtection="1"/>
    <xf numFmtId="0" fontId="10" fillId="0" borderId="3" xfId="2" applyFont="1" applyFill="1" applyBorder="1" applyAlignment="1" applyProtection="1">
      <alignment wrapText="1"/>
    </xf>
    <xf numFmtId="0" fontId="14" fillId="0" borderId="4" xfId="0" applyFont="1" applyBorder="1" applyAlignment="1">
      <alignment horizontal="left" wrapText="1"/>
    </xf>
    <xf numFmtId="0" fontId="17" fillId="0" borderId="4" xfId="0" applyFont="1" applyBorder="1" applyAlignment="1">
      <alignment horizontal="left" wrapText="1"/>
    </xf>
    <xf numFmtId="0" fontId="10" fillId="4" borderId="0" xfId="3" applyFont="1" applyFill="1" applyBorder="1"/>
    <xf numFmtId="165" fontId="10" fillId="6" borderId="0" xfId="1" applyNumberFormat="1" applyFont="1" applyFill="1" applyBorder="1" applyAlignment="1" applyProtection="1">
      <alignment horizontal="right"/>
      <protection locked="0"/>
    </xf>
    <xf numFmtId="0" fontId="10" fillId="4" borderId="0" xfId="3" applyFont="1" applyFill="1" applyBorder="1" applyAlignment="1">
      <alignment wrapText="1"/>
    </xf>
    <xf numFmtId="0" fontId="28" fillId="8" borderId="0" xfId="0" applyFont="1" applyFill="1" applyAlignment="1">
      <alignment horizontal="center"/>
    </xf>
    <xf numFmtId="0" fontId="10" fillId="0" borderId="0" xfId="2" applyFont="1" applyFill="1" applyBorder="1" applyAlignment="1" applyProtection="1">
      <alignment horizontal="left"/>
    </xf>
    <xf numFmtId="2" fontId="10" fillId="4" borderId="0" xfId="1" applyNumberFormat="1" applyFont="1" applyFill="1" applyBorder="1" applyAlignment="1" applyProtection="1">
      <alignment horizontal="right"/>
      <protection locked="0"/>
    </xf>
    <xf numFmtId="0" fontId="0" fillId="10" borderId="0" xfId="0" applyFill="1" applyAlignment="1">
      <alignment wrapText="1"/>
    </xf>
    <xf numFmtId="0" fontId="48" fillId="8" borderId="0" xfId="0" applyFont="1" applyFill="1"/>
    <xf numFmtId="0" fontId="0" fillId="0" borderId="0" xfId="0" applyAlignment="1">
      <alignment wrapText="1"/>
    </xf>
    <xf numFmtId="4" fontId="0" fillId="0" borderId="19" xfId="1" applyNumberFormat="1" applyFont="1" applyFill="1" applyBorder="1"/>
    <xf numFmtId="0" fontId="0" fillId="0" borderId="0" xfId="0" applyAlignment="1">
      <alignment vertical="center" wrapText="1"/>
    </xf>
    <xf numFmtId="2" fontId="0" fillId="0" borderId="0" xfId="0" applyNumberFormat="1"/>
    <xf numFmtId="0" fontId="0" fillId="0" borderId="0" xfId="0" applyProtection="1">
      <protection locked="0"/>
    </xf>
    <xf numFmtId="0" fontId="8" fillId="0" borderId="0" xfId="0" applyFont="1" applyProtection="1">
      <protection locked="0"/>
    </xf>
    <xf numFmtId="0" fontId="28" fillId="8" borderId="20" xfId="0" applyFont="1" applyFill="1" applyBorder="1" applyProtection="1">
      <protection locked="0"/>
    </xf>
    <xf numFmtId="0" fontId="49" fillId="0" borderId="0" xfId="0" applyFont="1" applyProtection="1">
      <protection locked="0"/>
    </xf>
    <xf numFmtId="0" fontId="28" fillId="8" borderId="20" xfId="0" applyFont="1" applyFill="1" applyBorder="1" applyAlignment="1" applyProtection="1">
      <alignment wrapText="1"/>
      <protection locked="0"/>
    </xf>
    <xf numFmtId="165" fontId="3" fillId="9" borderId="19" xfId="1" applyNumberFormat="1" applyFont="1" applyFill="1" applyBorder="1" applyProtection="1">
      <protection locked="0"/>
    </xf>
    <xf numFmtId="0" fontId="10" fillId="0" borderId="0" xfId="2" applyFont="1" applyFill="1" applyBorder="1" applyAlignment="1" applyProtection="1">
      <alignment horizontal="left"/>
      <protection locked="0"/>
    </xf>
    <xf numFmtId="0" fontId="50" fillId="0" borderId="0" xfId="0" applyFont="1" applyProtection="1">
      <protection locked="0"/>
    </xf>
    <xf numFmtId="0" fontId="12" fillId="0" borderId="0" xfId="0" applyFont="1" applyProtection="1">
      <protection locked="0"/>
    </xf>
    <xf numFmtId="0" fontId="10" fillId="0" borderId="0" xfId="2" applyFont="1" applyFill="1" applyBorder="1" applyAlignment="1" applyProtection="1">
      <protection locked="0"/>
    </xf>
    <xf numFmtId="4" fontId="3" fillId="9" borderId="19" xfId="1" applyNumberFormat="1" applyFont="1" applyFill="1" applyBorder="1" applyProtection="1">
      <protection locked="0"/>
    </xf>
    <xf numFmtId="4" fontId="0" fillId="9" borderId="19" xfId="0" applyNumberFormat="1" applyFill="1" applyBorder="1" applyProtection="1">
      <protection locked="0"/>
    </xf>
    <xf numFmtId="0" fontId="28" fillId="8" borderId="21" xfId="0" applyFont="1" applyFill="1" applyBorder="1" applyProtection="1">
      <protection locked="0"/>
    </xf>
    <xf numFmtId="0" fontId="51" fillId="0" borderId="0" xfId="0" applyFont="1" applyProtection="1">
      <protection locked="0"/>
    </xf>
    <xf numFmtId="0" fontId="48" fillId="0" borderId="0" xfId="0" applyFont="1" applyProtection="1">
      <protection locked="0"/>
    </xf>
    <xf numFmtId="0" fontId="53" fillId="0" borderId="0" xfId="0" applyFont="1" applyProtection="1">
      <protection locked="0"/>
    </xf>
    <xf numFmtId="0" fontId="28" fillId="8" borderId="25" xfId="0" applyFont="1" applyFill="1" applyBorder="1" applyAlignment="1" applyProtection="1">
      <alignment horizontal="center"/>
      <protection locked="0"/>
    </xf>
    <xf numFmtId="0" fontId="28" fillId="8" borderId="26" xfId="0" applyFont="1" applyFill="1" applyBorder="1" applyAlignment="1" applyProtection="1">
      <alignment horizontal="center"/>
      <protection locked="0"/>
    </xf>
    <xf numFmtId="0" fontId="28" fillId="8" borderId="27" xfId="0" applyFont="1" applyFill="1" applyBorder="1" applyAlignment="1" applyProtection="1">
      <alignment horizontal="center"/>
      <protection locked="0"/>
    </xf>
    <xf numFmtId="9" fontId="3" fillId="9" borderId="19" xfId="1" applyFont="1" applyFill="1" applyBorder="1" applyProtection="1">
      <protection locked="0"/>
    </xf>
    <xf numFmtId="0" fontId="0" fillId="9" borderId="19" xfId="0" applyFill="1" applyBorder="1" applyProtection="1">
      <protection locked="0"/>
    </xf>
    <xf numFmtId="0" fontId="5" fillId="0" borderId="0" xfId="2" applyProtection="1">
      <protection locked="0"/>
    </xf>
    <xf numFmtId="0" fontId="34" fillId="0" borderId="0" xfId="0" applyFont="1" applyProtection="1">
      <protection locked="0"/>
    </xf>
    <xf numFmtId="9" fontId="34" fillId="0" borderId="0" xfId="0" applyNumberFormat="1" applyFont="1" applyProtection="1">
      <protection locked="0"/>
    </xf>
    <xf numFmtId="0" fontId="28" fillId="8" borderId="19" xfId="0" applyFont="1" applyFill="1" applyBorder="1" applyProtection="1">
      <protection locked="0"/>
    </xf>
    <xf numFmtId="0" fontId="0" fillId="4" borderId="0" xfId="0" applyFill="1"/>
    <xf numFmtId="0" fontId="1" fillId="4" borderId="0" xfId="0" applyFont="1" applyFill="1"/>
    <xf numFmtId="0" fontId="36" fillId="4" borderId="0" xfId="0" applyFont="1" applyFill="1"/>
    <xf numFmtId="0" fontId="0" fillId="4" borderId="0" xfId="0" applyFill="1" applyProtection="1">
      <protection locked="0"/>
    </xf>
    <xf numFmtId="0" fontId="1" fillId="4" borderId="0" xfId="0" applyFont="1" applyFill="1" applyProtection="1">
      <protection locked="0"/>
    </xf>
    <xf numFmtId="0" fontId="27" fillId="4" borderId="0" xfId="0" applyFont="1" applyFill="1" applyAlignment="1" applyProtection="1">
      <alignment horizontal="center" vertical="center"/>
      <protection locked="0"/>
    </xf>
    <xf numFmtId="0" fontId="2"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27" fillId="0" borderId="0" xfId="0" applyFont="1" applyAlignment="1" applyProtection="1">
      <alignment horizontal="center" vertical="center"/>
      <protection locked="0"/>
    </xf>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0" xfId="0" applyAlignment="1">
      <alignment vertical="center"/>
    </xf>
    <xf numFmtId="0" fontId="39" fillId="15" borderId="29" xfId="4" applyFont="1" applyFill="1" applyBorder="1" applyAlignment="1">
      <alignment horizontal="left" vertical="center"/>
    </xf>
    <xf numFmtId="0" fontId="39" fillId="3" borderId="29" xfId="4" applyFont="1" applyFill="1" applyBorder="1" applyAlignment="1">
      <alignment horizontal="left" vertical="center"/>
    </xf>
    <xf numFmtId="0" fontId="39" fillId="14" borderId="29" xfId="4" applyFont="1" applyFill="1" applyBorder="1" applyAlignment="1">
      <alignment horizontal="left" vertical="center" indent="1"/>
    </xf>
    <xf numFmtId="0" fontId="39" fillId="17" borderId="29" xfId="4" applyFont="1" applyFill="1" applyBorder="1" applyAlignment="1">
      <alignment horizontal="left" vertical="center"/>
    </xf>
    <xf numFmtId="0" fontId="58" fillId="20" borderId="31" xfId="0" applyFont="1" applyFill="1" applyBorder="1" applyAlignment="1">
      <alignment horizontal="left" vertical="center" wrapText="1" indent="1"/>
    </xf>
    <xf numFmtId="0" fontId="59" fillId="22" borderId="33" xfId="0" applyFont="1" applyFill="1" applyBorder="1" applyAlignment="1" applyProtection="1">
      <alignment horizontal="center" vertical="center" wrapText="1"/>
      <protection locked="0"/>
    </xf>
    <xf numFmtId="0" fontId="60" fillId="23" borderId="32" xfId="0" applyFont="1" applyFill="1" applyBorder="1" applyAlignment="1">
      <alignment horizontal="center" vertical="center" wrapText="1"/>
    </xf>
    <xf numFmtId="0" fontId="54" fillId="18" borderId="0" xfId="0" applyFont="1" applyFill="1" applyAlignment="1">
      <alignment horizontal="center" vertical="center" wrapText="1"/>
    </xf>
    <xf numFmtId="0" fontId="58" fillId="19" borderId="32" xfId="0" applyFont="1" applyFill="1" applyBorder="1" applyAlignment="1">
      <alignment horizontal="left" vertical="center" wrapText="1" indent="1"/>
    </xf>
    <xf numFmtId="3" fontId="61" fillId="19" borderId="32" xfId="0" applyNumberFormat="1" applyFont="1" applyFill="1" applyBorder="1" applyAlignment="1">
      <alignment horizontal="right" vertical="center"/>
    </xf>
    <xf numFmtId="0" fontId="61" fillId="19" borderId="32" xfId="0" applyFont="1" applyFill="1" applyBorder="1" applyAlignment="1">
      <alignment horizontal="center" vertical="center" wrapText="1"/>
    </xf>
    <xf numFmtId="0" fontId="58" fillId="24" borderId="0" xfId="0" applyFont="1" applyFill="1" applyAlignment="1">
      <alignment horizontal="center" vertical="center" wrapText="1"/>
    </xf>
    <xf numFmtId="0" fontId="57" fillId="21" borderId="31" xfId="0" applyFont="1" applyFill="1" applyBorder="1" applyAlignment="1">
      <alignment horizontal="left" vertical="center" wrapText="1" indent="1"/>
    </xf>
    <xf numFmtId="0" fontId="57" fillId="20" borderId="31" xfId="0" applyFont="1" applyFill="1" applyBorder="1" applyAlignment="1">
      <alignment horizontal="left" vertical="center" wrapText="1" indent="1"/>
    </xf>
    <xf numFmtId="3" fontId="57" fillId="21" borderId="31" xfId="0" applyNumberFormat="1" applyFont="1" applyFill="1" applyBorder="1" applyAlignment="1">
      <alignment horizontal="right" vertical="center"/>
    </xf>
    <xf numFmtId="3" fontId="57" fillId="20" borderId="31" xfId="0" applyNumberFormat="1" applyFont="1" applyFill="1" applyBorder="1" applyAlignment="1">
      <alignment horizontal="right" vertical="center"/>
    </xf>
    <xf numFmtId="0" fontId="57" fillId="21" borderId="31" xfId="0" applyFont="1" applyFill="1" applyBorder="1" applyAlignment="1">
      <alignment horizontal="center" vertical="center" wrapText="1"/>
    </xf>
    <xf numFmtId="0" fontId="57" fillId="20" borderId="31" xfId="0" applyFont="1" applyFill="1" applyBorder="1" applyAlignment="1">
      <alignment horizontal="center" vertical="center" wrapText="1"/>
    </xf>
    <xf numFmtId="0" fontId="28" fillId="0" borderId="0" xfId="0" applyFont="1"/>
    <xf numFmtId="0" fontId="64" fillId="0" borderId="0" xfId="0" applyFont="1" applyAlignment="1">
      <alignment horizontal="center" vertical="center" wrapText="1"/>
    </xf>
    <xf numFmtId="0" fontId="64" fillId="0" borderId="0" xfId="0" applyFont="1" applyAlignment="1">
      <alignment horizontal="center" vertical="center"/>
    </xf>
    <xf numFmtId="0" fontId="58" fillId="0" borderId="0" xfId="0" applyFont="1" applyAlignment="1">
      <alignment horizontal="left" vertical="center" wrapText="1" indent="1"/>
    </xf>
    <xf numFmtId="0" fontId="61" fillId="0" borderId="0" xfId="0" applyFont="1" applyAlignment="1">
      <alignment horizontal="center" vertical="center" wrapText="1"/>
    </xf>
    <xf numFmtId="3" fontId="61" fillId="0" borderId="0" xfId="0" applyNumberFormat="1" applyFont="1" applyAlignment="1">
      <alignment horizontal="right" vertical="center"/>
    </xf>
    <xf numFmtId="0" fontId="54" fillId="8" borderId="0" xfId="0" applyFont="1" applyFill="1" applyAlignment="1">
      <alignment horizontal="center" vertical="center" wrapText="1"/>
    </xf>
    <xf numFmtId="4" fontId="57" fillId="21" borderId="31" xfId="0" applyNumberFormat="1" applyFont="1" applyFill="1" applyBorder="1" applyAlignment="1">
      <alignment horizontal="right" vertical="center"/>
    </xf>
    <xf numFmtId="4" fontId="57" fillId="20" borderId="31" xfId="0" applyNumberFormat="1" applyFont="1" applyFill="1" applyBorder="1" applyAlignment="1">
      <alignment horizontal="right" vertical="center"/>
    </xf>
    <xf numFmtId="4" fontId="61" fillId="19" borderId="32" xfId="0" applyNumberFormat="1" applyFont="1" applyFill="1" applyBorder="1" applyAlignment="1">
      <alignment horizontal="right" vertical="center"/>
    </xf>
    <xf numFmtId="0" fontId="0" fillId="0" borderId="0" xfId="0" applyAlignment="1">
      <alignment horizontal="left" vertical="center"/>
    </xf>
    <xf numFmtId="0" fontId="63" fillId="0" borderId="0" xfId="0" applyFont="1" applyAlignment="1">
      <alignment horizontal="left" vertical="center" wrapText="1" indent="1"/>
    </xf>
    <xf numFmtId="0" fontId="8" fillId="19" borderId="0" xfId="0" applyFont="1" applyFill="1" applyAlignment="1">
      <alignment vertical="center" wrapText="1"/>
    </xf>
    <xf numFmtId="0" fontId="47" fillId="8" borderId="0" xfId="0" applyFont="1" applyFill="1" applyAlignment="1">
      <alignment horizontal="center"/>
    </xf>
    <xf numFmtId="0" fontId="28" fillId="8" borderId="22" xfId="0" applyFont="1" applyFill="1" applyBorder="1" applyAlignment="1" applyProtection="1">
      <alignment horizontal="center"/>
      <protection locked="0"/>
    </xf>
    <xf numFmtId="0" fontId="28" fillId="8" borderId="23" xfId="0" applyFont="1" applyFill="1" applyBorder="1" applyAlignment="1" applyProtection="1">
      <alignment horizontal="center"/>
      <protection locked="0"/>
    </xf>
    <xf numFmtId="0" fontId="28" fillId="8" borderId="24" xfId="0" applyFont="1" applyFill="1" applyBorder="1" applyAlignment="1" applyProtection="1">
      <alignment horizontal="center"/>
      <protection locked="0"/>
    </xf>
    <xf numFmtId="0" fontId="28" fillId="8" borderId="22" xfId="0" applyFont="1" applyFill="1" applyBorder="1" applyAlignment="1" applyProtection="1">
      <alignment horizontal="left" vertical="center" wrapText="1"/>
      <protection locked="0"/>
    </xf>
    <xf numFmtId="0" fontId="28" fillId="8" borderId="28" xfId="0" applyFont="1" applyFill="1" applyBorder="1" applyAlignment="1" applyProtection="1">
      <alignment horizontal="left" vertical="center" wrapText="1"/>
      <protection locked="0"/>
    </xf>
    <xf numFmtId="0" fontId="28" fillId="8" borderId="22" xfId="0" applyFont="1" applyFill="1" applyBorder="1" applyAlignment="1" applyProtection="1">
      <alignment horizontal="left" vertical="center"/>
      <protection locked="0"/>
    </xf>
    <xf numFmtId="0" fontId="28" fillId="8" borderId="28" xfId="0" applyFont="1" applyFill="1" applyBorder="1" applyAlignment="1" applyProtection="1">
      <alignment horizontal="left" vertical="center"/>
      <protection locked="0"/>
    </xf>
    <xf numFmtId="0" fontId="56" fillId="8" borderId="0" xfId="0" applyFont="1" applyFill="1" applyAlignment="1">
      <alignment horizontal="left" vertical="center" wrapText="1" indent="1"/>
    </xf>
    <xf numFmtId="0" fontId="5" fillId="19" borderId="0" xfId="2" applyFill="1" applyAlignment="1">
      <alignment horizontal="left" vertical="center" wrapText="1" indent="1"/>
    </xf>
    <xf numFmtId="0" fontId="62" fillId="19" borderId="0" xfId="0" applyFont="1" applyFill="1" applyAlignment="1">
      <alignment horizontal="left" vertical="center" wrapText="1" indent="1"/>
    </xf>
    <xf numFmtId="0" fontId="55" fillId="8" borderId="0" xfId="0" applyFont="1" applyFill="1" applyAlignment="1">
      <alignment horizontal="left" vertical="center" wrapText="1" indent="1"/>
    </xf>
    <xf numFmtId="0" fontId="58" fillId="19" borderId="0" xfId="0" applyFont="1" applyFill="1" applyAlignment="1">
      <alignment horizontal="left" vertical="center" wrapText="1" indent="1"/>
    </xf>
    <xf numFmtId="0" fontId="58" fillId="20" borderId="31" xfId="0" applyFont="1" applyFill="1" applyBorder="1" applyAlignment="1">
      <alignment horizontal="left" vertical="center" wrapText="1" indent="1"/>
    </xf>
    <xf numFmtId="0" fontId="0" fillId="4" borderId="0" xfId="0" applyFill="1"/>
    <xf numFmtId="0" fontId="63" fillId="19" borderId="0" xfId="0" applyFont="1" applyFill="1" applyAlignment="1">
      <alignment horizontal="left" vertical="center" wrapText="1" indent="1"/>
    </xf>
    <xf numFmtId="0" fontId="0" fillId="0" borderId="0" xfId="0" applyAlignment="1">
      <alignment horizontal="left" vertical="center"/>
    </xf>
    <xf numFmtId="0" fontId="58" fillId="25" borderId="0" xfId="0" applyFont="1" applyFill="1" applyAlignment="1">
      <alignment horizontal="center" vertical="center" wrapText="1"/>
    </xf>
    <xf numFmtId="0" fontId="58" fillId="24" borderId="0" xfId="0" applyFont="1" applyFill="1" applyAlignment="1">
      <alignment horizontal="center" vertical="center" wrapText="1"/>
    </xf>
    <xf numFmtId="0" fontId="54" fillId="18" borderId="0" xfId="0" applyFont="1" applyFill="1" applyAlignment="1">
      <alignment horizontal="center" vertical="center" wrapText="1"/>
    </xf>
    <xf numFmtId="0" fontId="18" fillId="5" borderId="7" xfId="0" applyFont="1" applyFill="1" applyBorder="1" applyAlignment="1">
      <alignment horizontal="center" wrapText="1"/>
    </xf>
  </cellXfs>
  <cellStyles count="6">
    <cellStyle name="Hyperlink" xfId="3" xr:uid="{00000000-000B-0000-0000-000008000000}"/>
    <cellStyle name="Link" xfId="2" builtinId="8"/>
    <cellStyle name="Prozent" xfId="1" builtinId="5"/>
    <cellStyle name="Prozent 2" xfId="5" xr:uid="{53FF022A-16DE-4B1D-9CFC-F3D2A5BD8365}"/>
    <cellStyle name="Standard" xfId="0" builtinId="0"/>
    <cellStyle name="Standard 2" xfId="4" xr:uid="{1EF6503E-32E8-4047-8431-B21051F5B600}"/>
  </cellStyles>
  <dxfs count="4">
    <dxf>
      <font>
        <color rgb="FFFF0000"/>
      </font>
    </dxf>
    <dxf>
      <fill>
        <patternFill>
          <bgColor theme="9" tint="0.39994506668294322"/>
        </patternFill>
      </fill>
    </dxf>
    <dxf>
      <fill>
        <patternFill>
          <bgColor rgb="FFFF7C80"/>
        </patternFill>
      </fill>
    </dxf>
    <dxf>
      <font>
        <color rgb="FFC00000"/>
      </font>
    </dxf>
  </dxfs>
  <tableStyles count="0" defaultTableStyle="TableStyleMedium2" defaultPivotStyle="PivotStyleLight16"/>
  <colors>
    <mruColors>
      <color rgb="FF005D8E"/>
      <color rgb="FF075679"/>
      <color rgb="FFFF7C80"/>
      <color rgb="FFC7D4DF"/>
      <color rgb="FFB5683D"/>
      <color rgb="FFE6C6B4"/>
      <color rgb="FFF2F5F8"/>
      <color rgb="FFCCECFF"/>
      <color rgb="FFE9EEF3"/>
      <color rgb="FFB1C3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161925</xdr:rowOff>
    </xdr:from>
    <xdr:to>
      <xdr:col>2</xdr:col>
      <xdr:colOff>34763</xdr:colOff>
      <xdr:row>22</xdr:row>
      <xdr:rowOff>104775</xdr:rowOff>
    </xdr:to>
    <xdr:pic>
      <xdr:nvPicPr>
        <xdr:cNvPr id="2" name="Grafik 1">
          <a:extLst>
            <a:ext uri="{FF2B5EF4-FFF2-40B4-BE49-F238E27FC236}">
              <a16:creationId xmlns:a16="http://schemas.microsoft.com/office/drawing/2014/main" id="{28ECA713-250D-84B7-A11E-BD43AE0F06EE}"/>
            </a:ext>
          </a:extLst>
        </xdr:cNvPr>
        <xdr:cNvPicPr>
          <a:picLocks noChangeAspect="1"/>
        </xdr:cNvPicPr>
      </xdr:nvPicPr>
      <xdr:blipFill>
        <a:blip xmlns:r="http://schemas.openxmlformats.org/officeDocument/2006/relationships" r:embed="rId1"/>
        <a:stretch>
          <a:fillRect/>
        </a:stretch>
      </xdr:blipFill>
      <xdr:spPr>
        <a:xfrm>
          <a:off x="323850" y="523875"/>
          <a:ext cx="5140163" cy="3943350"/>
        </a:xfrm>
        <a:prstGeom prst="rect">
          <a:avLst/>
        </a:prstGeom>
      </xdr:spPr>
    </xdr:pic>
    <xdr:clientData/>
  </xdr:twoCellAnchor>
  <xdr:twoCellAnchor>
    <xdr:from>
      <xdr:col>3</xdr:col>
      <xdr:colOff>114300</xdr:colOff>
      <xdr:row>2</xdr:row>
      <xdr:rowOff>85725</xdr:rowOff>
    </xdr:from>
    <xdr:to>
      <xdr:col>9</xdr:col>
      <xdr:colOff>609600</xdr:colOff>
      <xdr:row>33</xdr:row>
      <xdr:rowOff>123825</xdr:rowOff>
    </xdr:to>
    <xdr:sp macro="" textlink="">
      <xdr:nvSpPr>
        <xdr:cNvPr id="3" name="Textfeld 2">
          <a:extLst>
            <a:ext uri="{FF2B5EF4-FFF2-40B4-BE49-F238E27FC236}">
              <a16:creationId xmlns:a16="http://schemas.microsoft.com/office/drawing/2014/main" id="{A36C1360-E9CC-46E8-D7FA-093CF4A4C340}"/>
            </a:ext>
          </a:extLst>
        </xdr:cNvPr>
        <xdr:cNvSpPr txBox="1"/>
      </xdr:nvSpPr>
      <xdr:spPr>
        <a:xfrm>
          <a:off x="5924550" y="695325"/>
          <a:ext cx="5067300" cy="7086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1">
              <a:solidFill>
                <a:schemeClr val="dk1"/>
              </a:solidFill>
              <a:effectLst/>
              <a:latin typeface="+mn-lt"/>
              <a:ea typeface="+mn-ea"/>
              <a:cs typeface="+mn-cs"/>
            </a:rPr>
            <a:t>Welcome to the SaveEnergyTogether Cost</a:t>
          </a:r>
          <a:r>
            <a:rPr lang="de-AT" sz="1100" b="1" baseline="0">
              <a:solidFill>
                <a:schemeClr val="dk1"/>
              </a:solidFill>
              <a:effectLst/>
              <a:latin typeface="+mn-lt"/>
              <a:ea typeface="+mn-ea"/>
              <a:cs typeface="+mn-cs"/>
            </a:rPr>
            <a:t> </a:t>
          </a:r>
          <a:r>
            <a:rPr lang="de-AT" sz="1100" b="1">
              <a:solidFill>
                <a:schemeClr val="dk1"/>
              </a:solidFill>
              <a:effectLst/>
              <a:latin typeface="+mn-lt"/>
              <a:ea typeface="+mn-ea"/>
              <a:cs typeface="+mn-cs"/>
            </a:rPr>
            <a:t>Benefit Analysis Tool</a:t>
          </a:r>
          <a:endParaRPr lang="de-AT">
            <a:effectLst/>
          </a:endParaRPr>
        </a:p>
        <a:p>
          <a:r>
            <a:rPr lang="de-AT" sz="1100">
              <a:solidFill>
                <a:schemeClr val="dk1"/>
              </a:solidFill>
              <a:effectLst/>
              <a:latin typeface="+mn-lt"/>
              <a:ea typeface="+mn-ea"/>
              <a:cs typeface="+mn-cs"/>
            </a:rPr>
            <a:t>This tool supports local and regional actors in planning and assessing low</a:t>
          </a:r>
          <a:r>
            <a:rPr lang="de-AT" sz="1100" baseline="0">
              <a:solidFill>
                <a:schemeClr val="dk1"/>
              </a:solidFill>
              <a:effectLst/>
              <a:latin typeface="+mn-lt"/>
              <a:ea typeface="+mn-ea"/>
              <a:cs typeface="+mn-cs"/>
            </a:rPr>
            <a:t> </a:t>
          </a:r>
          <a:r>
            <a:rPr lang="de-AT" sz="1100">
              <a:solidFill>
                <a:schemeClr val="dk1"/>
              </a:solidFill>
              <a:effectLst/>
              <a:latin typeface="+mn-lt"/>
              <a:ea typeface="+mn-ea"/>
              <a:cs typeface="+mn-cs"/>
            </a:rPr>
            <a:t>threshold household energy efficiency campaigns. It helps estimate both the effort required to implement a campaign and the potential positive impacts, including final energy savings, household energy cost savings, avoided greenhouse gas emissions, avoided air pollutant emissions, and wider social benefits.</a:t>
          </a:r>
          <a:endParaRPr lang="de-AT">
            <a:effectLst/>
          </a:endParaRPr>
        </a:p>
        <a:p>
          <a:r>
            <a:rPr lang="de-AT" sz="1100">
              <a:solidFill>
                <a:schemeClr val="dk1"/>
              </a:solidFill>
              <a:effectLst/>
              <a:latin typeface="+mn-lt"/>
              <a:ea typeface="+mn-ea"/>
              <a:cs typeface="+mn-cs"/>
            </a:rPr>
            <a:t>The tool is designed for communication campaigns that promote simple, cost</a:t>
          </a:r>
          <a:r>
            <a:rPr lang="de-AT" sz="1100" baseline="0">
              <a:solidFill>
                <a:schemeClr val="dk1"/>
              </a:solidFill>
              <a:effectLst/>
              <a:latin typeface="+mn-lt"/>
              <a:ea typeface="+mn-ea"/>
              <a:cs typeface="+mn-cs"/>
            </a:rPr>
            <a:t> </a:t>
          </a:r>
          <a:r>
            <a:rPr lang="de-AT" sz="1100">
              <a:solidFill>
                <a:schemeClr val="dk1"/>
              </a:solidFill>
              <a:effectLst/>
              <a:latin typeface="+mn-lt"/>
              <a:ea typeface="+mn-ea"/>
              <a:cs typeface="+mn-cs"/>
            </a:rPr>
            <a:t>effective and behaviour</a:t>
          </a:r>
          <a:r>
            <a:rPr lang="de-AT" sz="1100" baseline="0">
              <a:solidFill>
                <a:schemeClr val="dk1"/>
              </a:solidFill>
              <a:effectLst/>
              <a:latin typeface="+mn-lt"/>
              <a:ea typeface="+mn-ea"/>
              <a:cs typeface="+mn-cs"/>
            </a:rPr>
            <a:t> </a:t>
          </a:r>
          <a:r>
            <a:rPr lang="de-AT" sz="1100">
              <a:solidFill>
                <a:schemeClr val="dk1"/>
              </a:solidFill>
              <a:effectLst/>
              <a:latin typeface="+mn-lt"/>
              <a:ea typeface="+mn-ea"/>
              <a:cs typeface="+mn-cs"/>
            </a:rPr>
            <a:t>driven energy efficiency interventions in households, such as improving heating behaviour, reducing hot water use, sealing drafts, insulating heating pipes, or switching to more efficient lighting and appliances.</a:t>
          </a:r>
          <a:endParaRPr lang="de-AT">
            <a:effectLst/>
          </a:endParaRPr>
        </a:p>
        <a:p>
          <a:r>
            <a:rPr lang="de-AT" sz="1100" b="1">
              <a:solidFill>
                <a:schemeClr val="dk1"/>
              </a:solidFill>
              <a:effectLst/>
              <a:latin typeface="+mn-lt"/>
              <a:ea typeface="+mn-ea"/>
              <a:cs typeface="+mn-cs"/>
            </a:rPr>
            <a:t>The results are scenario-based and depend on the information entered in the “</a:t>
          </a:r>
          <a:r>
            <a:rPr lang="de-AT" sz="1100" b="1">
              <a:solidFill>
                <a:srgbClr val="005D8E"/>
              </a:solidFill>
              <a:effectLst/>
              <a:latin typeface="+mn-lt"/>
              <a:ea typeface="+mn-ea"/>
              <a:cs typeface="+mn-cs"/>
            </a:rPr>
            <a:t>Data Input</a:t>
          </a:r>
          <a:r>
            <a:rPr lang="de-AT" sz="1100" b="1">
              <a:solidFill>
                <a:schemeClr val="dk1"/>
              </a:solidFill>
              <a:effectLst/>
              <a:latin typeface="+mn-lt"/>
              <a:ea typeface="+mn-ea"/>
              <a:cs typeface="+mn-cs"/>
            </a:rPr>
            <a:t>” and “</a:t>
          </a:r>
          <a:r>
            <a:rPr lang="de-AT" sz="1100" b="1">
              <a:solidFill>
                <a:srgbClr val="005D8E"/>
              </a:solidFill>
              <a:effectLst/>
              <a:latin typeface="+mn-lt"/>
              <a:ea typeface="+mn-ea"/>
              <a:cs typeface="+mn-cs"/>
            </a:rPr>
            <a:t>Campaign Input</a:t>
          </a:r>
          <a:r>
            <a:rPr lang="de-AT" sz="1100" b="1">
              <a:solidFill>
                <a:schemeClr val="dk1"/>
              </a:solidFill>
              <a:effectLst/>
              <a:latin typeface="+mn-lt"/>
              <a:ea typeface="+mn-ea"/>
              <a:cs typeface="+mn-cs"/>
            </a:rPr>
            <a:t>” sheets</a:t>
          </a:r>
          <a:r>
            <a:rPr lang="de-AT" sz="1100">
              <a:solidFill>
                <a:schemeClr val="dk1"/>
              </a:solidFill>
              <a:effectLst/>
              <a:latin typeface="+mn-lt"/>
              <a:ea typeface="+mn-ea"/>
              <a:cs typeface="+mn-cs"/>
            </a:rPr>
            <a:t>. They should be understood as indicative estimates that support campaign planning, comparison of different intervention options, and communication with local stakeholders.</a:t>
          </a:r>
        </a:p>
        <a:p>
          <a:endParaRPr lang="de-AT">
            <a:effectLst/>
          </a:endParaRPr>
        </a:p>
        <a:p>
          <a:r>
            <a:rPr lang="de-AT" sz="1100" b="1">
              <a:solidFill>
                <a:schemeClr val="dk1"/>
              </a:solidFill>
              <a:effectLst/>
              <a:latin typeface="+mn-lt"/>
              <a:ea typeface="+mn-ea"/>
              <a:cs typeface="+mn-cs"/>
            </a:rPr>
            <a:t>How to read the results</a:t>
          </a:r>
          <a:endParaRPr lang="de-AT">
            <a:effectLst/>
          </a:endParaRPr>
        </a:p>
        <a:p>
          <a:r>
            <a:rPr lang="de-AT" sz="1100">
              <a:solidFill>
                <a:schemeClr val="dk1"/>
              </a:solidFill>
              <a:effectLst/>
              <a:latin typeface="+mn-lt"/>
              <a:ea typeface="+mn-ea"/>
              <a:cs typeface="+mn-cs"/>
            </a:rPr>
            <a:t>The results summarise the expected impacts of the selected campaign scenario. They combine household</a:t>
          </a:r>
          <a:r>
            <a:rPr lang="de-AT" sz="1100" baseline="0">
              <a:solidFill>
                <a:schemeClr val="dk1"/>
              </a:solidFill>
              <a:effectLst/>
              <a:latin typeface="+mn-lt"/>
              <a:ea typeface="+mn-ea"/>
              <a:cs typeface="+mn-cs"/>
            </a:rPr>
            <a:t> </a:t>
          </a:r>
          <a:r>
            <a:rPr lang="de-AT" sz="1100">
              <a:solidFill>
                <a:schemeClr val="dk1"/>
              </a:solidFill>
              <a:effectLst/>
              <a:latin typeface="+mn-lt"/>
              <a:ea typeface="+mn-ea"/>
              <a:cs typeface="+mn-cs"/>
            </a:rPr>
            <a:t>level effects with campaign</a:t>
          </a:r>
          <a:r>
            <a:rPr lang="de-AT" sz="1100" baseline="0">
              <a:solidFill>
                <a:schemeClr val="dk1"/>
              </a:solidFill>
              <a:effectLst/>
              <a:latin typeface="+mn-lt"/>
              <a:ea typeface="+mn-ea"/>
              <a:cs typeface="+mn-cs"/>
            </a:rPr>
            <a:t> </a:t>
          </a:r>
          <a:r>
            <a:rPr lang="de-AT" sz="1100">
              <a:solidFill>
                <a:schemeClr val="dk1"/>
              </a:solidFill>
              <a:effectLst/>
              <a:latin typeface="+mn-lt"/>
              <a:ea typeface="+mn-ea"/>
              <a:cs typeface="+mn-cs"/>
            </a:rPr>
            <a:t>level assumptions, such as the number of households reached, the selected campaign type, and the energy</a:t>
          </a:r>
          <a:r>
            <a:rPr lang="de-AT" sz="1100" baseline="0">
              <a:solidFill>
                <a:schemeClr val="dk1"/>
              </a:solidFill>
              <a:effectLst/>
              <a:latin typeface="+mn-lt"/>
              <a:ea typeface="+mn-ea"/>
              <a:cs typeface="+mn-cs"/>
            </a:rPr>
            <a:t> </a:t>
          </a:r>
          <a:r>
            <a:rPr lang="de-AT" sz="1100">
              <a:solidFill>
                <a:schemeClr val="dk1"/>
              </a:solidFill>
              <a:effectLst/>
              <a:latin typeface="+mn-lt"/>
              <a:ea typeface="+mn-ea"/>
              <a:cs typeface="+mn-cs"/>
            </a:rPr>
            <a:t>saving measures addressed.</a:t>
          </a:r>
          <a:br>
            <a:rPr lang="de-AT" sz="1100">
              <a:solidFill>
                <a:schemeClr val="dk1"/>
              </a:solidFill>
              <a:effectLst/>
              <a:latin typeface="+mn-lt"/>
              <a:ea typeface="+mn-ea"/>
              <a:cs typeface="+mn-cs"/>
            </a:rPr>
          </a:br>
          <a:endParaRPr lang="de-AT">
            <a:effectLst/>
          </a:endParaRPr>
        </a:p>
        <a:p>
          <a:r>
            <a:rPr lang="de-AT" sz="1100" b="1">
              <a:solidFill>
                <a:schemeClr val="dk1"/>
              </a:solidFill>
              <a:effectLst/>
              <a:latin typeface="+mn-lt"/>
              <a:ea typeface="+mn-ea"/>
              <a:cs typeface="+mn-cs"/>
            </a:rPr>
            <a:t>Key indicators include:</a:t>
          </a:r>
          <a:endParaRPr lang="de-AT" b="1">
            <a:effectLst/>
          </a:endParaRPr>
        </a:p>
        <a:p>
          <a:r>
            <a:rPr lang="de-AT" sz="1100">
              <a:solidFill>
                <a:schemeClr val="dk1"/>
              </a:solidFill>
              <a:effectLst/>
              <a:latin typeface="+mn-lt"/>
              <a:ea typeface="+mn-ea"/>
              <a:cs typeface="+mn-cs"/>
            </a:rPr>
            <a:t>• Final energy savings: the estimated reduction in household energy use.</a:t>
          </a:r>
          <a:endParaRPr lang="de-AT">
            <a:effectLst/>
          </a:endParaRPr>
        </a:p>
        <a:p>
          <a:r>
            <a:rPr lang="de-AT" sz="1100">
              <a:solidFill>
                <a:schemeClr val="dk1"/>
              </a:solidFill>
              <a:effectLst/>
              <a:latin typeface="+mn-lt"/>
              <a:ea typeface="+mn-ea"/>
              <a:cs typeface="+mn-cs"/>
            </a:rPr>
            <a:t>• Energy cost savings: the estimated financial savings for participating households.</a:t>
          </a:r>
          <a:endParaRPr lang="de-AT">
            <a:effectLst/>
          </a:endParaRPr>
        </a:p>
        <a:p>
          <a:r>
            <a:rPr lang="de-AT" sz="1100">
              <a:solidFill>
                <a:schemeClr val="dk1"/>
              </a:solidFill>
              <a:effectLst/>
              <a:latin typeface="+mn-lt"/>
              <a:ea typeface="+mn-ea"/>
              <a:cs typeface="+mn-cs"/>
            </a:rPr>
            <a:t>• Triggered household investments: estimated private investments required for selected measures.</a:t>
          </a:r>
          <a:endParaRPr lang="de-AT">
            <a:effectLst/>
          </a:endParaRPr>
        </a:p>
        <a:p>
          <a:r>
            <a:rPr lang="de-AT" sz="1100">
              <a:solidFill>
                <a:schemeClr val="dk1"/>
              </a:solidFill>
              <a:effectLst/>
              <a:latin typeface="+mn-lt"/>
              <a:ea typeface="+mn-ea"/>
              <a:cs typeface="+mn-cs"/>
            </a:rPr>
            <a:t>• Avoided greenhouse gas emissions: estimated climate benefits expressed in tonnes of CO₂ equivalent.</a:t>
          </a:r>
          <a:endParaRPr lang="de-AT">
            <a:effectLst/>
          </a:endParaRPr>
        </a:p>
        <a:p>
          <a:r>
            <a:rPr lang="de-AT" sz="1100">
              <a:solidFill>
                <a:schemeClr val="dk1"/>
              </a:solidFill>
              <a:effectLst/>
              <a:latin typeface="+mn-lt"/>
              <a:ea typeface="+mn-ea"/>
              <a:cs typeface="+mn-cs"/>
            </a:rPr>
            <a:t>• Avoided air pollutant emissions: estimated reductions in SO₂, NOx, particulate matter and NMVOC emissions.</a:t>
          </a:r>
          <a:endParaRPr lang="de-AT">
            <a:effectLst/>
          </a:endParaRPr>
        </a:p>
        <a:p>
          <a:r>
            <a:rPr lang="de-AT" sz="1100">
              <a:solidFill>
                <a:schemeClr val="dk1"/>
              </a:solidFill>
              <a:effectLst/>
              <a:latin typeface="+mn-lt"/>
              <a:ea typeface="+mn-ea"/>
              <a:cs typeface="+mn-cs"/>
            </a:rPr>
            <a:t>• Avoided social costs: monetised benefits related to reduced greenhouse gas and air pollutant emissions.</a:t>
          </a:r>
          <a:endParaRPr lang="de-AT">
            <a:effectLst/>
          </a:endParaRPr>
        </a:p>
        <a:p>
          <a:r>
            <a:rPr lang="de-AT" sz="1100">
              <a:solidFill>
                <a:schemeClr val="dk1"/>
              </a:solidFill>
              <a:effectLst/>
              <a:latin typeface="+mn-lt"/>
              <a:ea typeface="+mn-ea"/>
              <a:cs typeface="+mn-cs"/>
            </a:rPr>
            <a:t>The results can be used to compare different campaign designs and to identify measures with a favourable balance between implementation effort, household benefits and wider societal impacts.</a:t>
          </a:r>
        </a:p>
        <a:p>
          <a:endParaRPr lang="de-AT">
            <a:effectLst/>
          </a:endParaRPr>
        </a:p>
        <a:p>
          <a:r>
            <a:rPr lang="de-AT" sz="1100" b="1">
              <a:solidFill>
                <a:schemeClr val="dk1"/>
              </a:solidFill>
              <a:effectLst/>
              <a:latin typeface="+mn-lt"/>
              <a:ea typeface="+mn-ea"/>
              <a:cs typeface="+mn-cs"/>
            </a:rPr>
            <a:t>Please note</a:t>
          </a:r>
          <a:r>
            <a:rPr lang="de-AT" sz="1100">
              <a:solidFill>
                <a:schemeClr val="dk1"/>
              </a:solidFill>
              <a:effectLst/>
              <a:latin typeface="+mn-lt"/>
              <a:ea typeface="+mn-ea"/>
              <a:cs typeface="+mn-cs"/>
            </a:rPr>
            <a:t>: The results are indicative estimates and not a substitute for a detailed technical assessment. They depend on the quality and representativeness of the input data. Where local data are not available, national or default values may be used, but this can affect the accuracy of the results.</a:t>
          </a:r>
          <a:endParaRPr lang="de-AT" sz="1100" kern="1200"/>
        </a:p>
      </xdr:txBody>
    </xdr:sp>
    <xdr:clientData/>
  </xdr:twoCellAnchor>
  <xdr:twoCellAnchor editAs="oneCell">
    <xdr:from>
      <xdr:col>1</xdr:col>
      <xdr:colOff>0</xdr:colOff>
      <xdr:row>23</xdr:row>
      <xdr:rowOff>66675</xdr:rowOff>
    </xdr:from>
    <xdr:to>
      <xdr:col>1</xdr:col>
      <xdr:colOff>2533650</xdr:colOff>
      <xdr:row>26</xdr:row>
      <xdr:rowOff>46742</xdr:rowOff>
    </xdr:to>
    <xdr:pic>
      <xdr:nvPicPr>
        <xdr:cNvPr id="4" name="Grafik 3">
          <a:extLst>
            <a:ext uri="{FF2B5EF4-FFF2-40B4-BE49-F238E27FC236}">
              <a16:creationId xmlns:a16="http://schemas.microsoft.com/office/drawing/2014/main" id="{E67409A0-95C3-423F-8324-E45C5C9C8B4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3850" y="4676775"/>
          <a:ext cx="2533650" cy="551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6</xdr:row>
      <xdr:rowOff>0</xdr:rowOff>
    </xdr:from>
    <xdr:to>
      <xdr:col>11</xdr:col>
      <xdr:colOff>9525</xdr:colOff>
      <xdr:row>11</xdr:row>
      <xdr:rowOff>180975</xdr:rowOff>
    </xdr:to>
    <xdr:sp macro="" textlink="">
      <xdr:nvSpPr>
        <xdr:cNvPr id="5" name="Textfeld 4">
          <a:extLst>
            <a:ext uri="{FF2B5EF4-FFF2-40B4-BE49-F238E27FC236}">
              <a16:creationId xmlns:a16="http://schemas.microsoft.com/office/drawing/2014/main" id="{868D4745-DD7D-4FCA-A617-96BCE6DCA737}"/>
            </a:ext>
          </a:extLst>
        </xdr:cNvPr>
        <xdr:cNvSpPr txBox="1"/>
      </xdr:nvSpPr>
      <xdr:spPr>
        <a:xfrm>
          <a:off x="7467600" y="1571625"/>
          <a:ext cx="3819525" cy="1133475"/>
        </a:xfrm>
        <a:prstGeom prst="rect">
          <a:avLst/>
        </a:prstGeom>
        <a:solidFill>
          <a:schemeClr val="lt1"/>
        </a:solidFill>
        <a:ln w="12700" cmpd="sng">
          <a:solidFill>
            <a:srgbClr val="005D8E"/>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kern="1200"/>
            <a:t>Household data entered here are</a:t>
          </a:r>
          <a:r>
            <a:rPr lang="de-AT" sz="1100" b="0" kern="1200" baseline="0"/>
            <a:t> the model homes prepared to calculate all savings actions.</a:t>
          </a:r>
          <a:endParaRPr lang="de-AT" sz="1100" b="0" kern="1200"/>
        </a:p>
      </xdr:txBody>
    </xdr:sp>
    <xdr:clientData/>
  </xdr:twoCellAnchor>
  <xdr:twoCellAnchor>
    <xdr:from>
      <xdr:col>6</xdr:col>
      <xdr:colOff>0</xdr:colOff>
      <xdr:row>13</xdr:row>
      <xdr:rowOff>0</xdr:rowOff>
    </xdr:from>
    <xdr:to>
      <xdr:col>11</xdr:col>
      <xdr:colOff>9525</xdr:colOff>
      <xdr:row>24</xdr:row>
      <xdr:rowOff>0</xdr:rowOff>
    </xdr:to>
    <xdr:sp macro="" textlink="">
      <xdr:nvSpPr>
        <xdr:cNvPr id="6" name="Textfeld 5">
          <a:extLst>
            <a:ext uri="{FF2B5EF4-FFF2-40B4-BE49-F238E27FC236}">
              <a16:creationId xmlns:a16="http://schemas.microsoft.com/office/drawing/2014/main" id="{65288357-1721-465F-921B-D5BF880CF6DF}"/>
            </a:ext>
          </a:extLst>
        </xdr:cNvPr>
        <xdr:cNvSpPr txBox="1"/>
      </xdr:nvSpPr>
      <xdr:spPr>
        <a:xfrm>
          <a:off x="7467600" y="2905125"/>
          <a:ext cx="3819525" cy="2095500"/>
        </a:xfrm>
        <a:prstGeom prst="rect">
          <a:avLst/>
        </a:prstGeom>
        <a:solidFill>
          <a:schemeClr val="lt1"/>
        </a:solidFill>
        <a:ln w="12700" cmpd="sng">
          <a:solidFill>
            <a:srgbClr val="005D8E"/>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kern="1200"/>
            <a:t>If the</a:t>
          </a:r>
          <a:r>
            <a:rPr lang="de-AT" sz="1100" kern="1200" baseline="0"/>
            <a:t> regional share of heating systems per building is not known, the entries can be based on regional or national energy carrier use for heating.</a:t>
          </a:r>
        </a:p>
        <a:p>
          <a:r>
            <a:rPr lang="de-AT" sz="1100" kern="1200" baseline="0"/>
            <a:t>Relevant data can be found at EUROSTAT (</a:t>
          </a:r>
          <a:r>
            <a:rPr lang="de-AT" b="0"/>
            <a:t>nrg_d_hhq)</a:t>
          </a:r>
        </a:p>
        <a:p>
          <a:endParaRPr lang="de-AT" sz="1100" b="0" kern="1200" baseline="0"/>
        </a:p>
        <a:p>
          <a:r>
            <a:rPr lang="de-AT" sz="1100" b="1" kern="1200" baseline="0"/>
            <a:t>Please make sure that all checksums are at 100%!</a:t>
          </a:r>
        </a:p>
        <a:p>
          <a:endParaRPr lang="de-AT" sz="1100" b="1" kern="1200"/>
        </a:p>
      </xdr:txBody>
    </xdr:sp>
    <xdr:clientData/>
  </xdr:twoCellAnchor>
  <xdr:twoCellAnchor>
    <xdr:from>
      <xdr:col>5</xdr:col>
      <xdr:colOff>762000</xdr:colOff>
      <xdr:row>45</xdr:row>
      <xdr:rowOff>0</xdr:rowOff>
    </xdr:from>
    <xdr:to>
      <xdr:col>11</xdr:col>
      <xdr:colOff>9525</xdr:colOff>
      <xdr:row>48</xdr:row>
      <xdr:rowOff>58615</xdr:rowOff>
    </xdr:to>
    <xdr:sp macro="" textlink="">
      <xdr:nvSpPr>
        <xdr:cNvPr id="8" name="Textfeld 7">
          <a:extLst>
            <a:ext uri="{FF2B5EF4-FFF2-40B4-BE49-F238E27FC236}">
              <a16:creationId xmlns:a16="http://schemas.microsoft.com/office/drawing/2014/main" id="{02D783CC-3B1D-4D0F-95FB-0F6E3A6CF596}"/>
            </a:ext>
          </a:extLst>
        </xdr:cNvPr>
        <xdr:cNvSpPr txBox="1"/>
      </xdr:nvSpPr>
      <xdr:spPr>
        <a:xfrm>
          <a:off x="7480788" y="8396654"/>
          <a:ext cx="3819525" cy="630115"/>
        </a:xfrm>
        <a:prstGeom prst="rect">
          <a:avLst/>
        </a:prstGeom>
        <a:solidFill>
          <a:schemeClr val="lt1"/>
        </a:solidFill>
        <a:ln w="12700" cmpd="sng">
          <a:solidFill>
            <a:srgbClr val="005D8E"/>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solidFill>
                <a:schemeClr val="dk1"/>
              </a:solidFill>
              <a:effectLst/>
              <a:latin typeface="+mn-lt"/>
              <a:ea typeface="+mn-ea"/>
              <a:cs typeface="+mn-cs"/>
            </a:rPr>
            <a:t>National data for the shares of energy carries</a:t>
          </a:r>
          <a:r>
            <a:rPr lang="de-AT" sz="1100" baseline="0">
              <a:solidFill>
                <a:schemeClr val="dk1"/>
              </a:solidFill>
              <a:effectLst/>
              <a:latin typeface="+mn-lt"/>
              <a:ea typeface="+mn-ea"/>
              <a:cs typeface="+mn-cs"/>
            </a:rPr>
            <a:t> in</a:t>
          </a:r>
          <a:r>
            <a:rPr lang="de-AT" sz="1100">
              <a:solidFill>
                <a:schemeClr val="dk1"/>
              </a:solidFill>
              <a:effectLst/>
              <a:latin typeface="+mn-lt"/>
              <a:ea typeface="+mn-ea"/>
              <a:cs typeface="+mn-cs"/>
            </a:rPr>
            <a:t> electricity generation</a:t>
          </a:r>
          <a:r>
            <a:rPr lang="de-AT" sz="1100" baseline="0">
              <a:solidFill>
                <a:schemeClr val="dk1"/>
              </a:solidFill>
              <a:effectLst/>
              <a:latin typeface="+mn-lt"/>
              <a:ea typeface="+mn-ea"/>
              <a:cs typeface="+mn-cs"/>
            </a:rPr>
            <a:t> has been provided on country level using 2024 data from EUROSTAT (nrg_bal_peh).</a:t>
          </a:r>
          <a:endParaRPr lang="de-AT" sz="1100" b="1" kern="1200"/>
        </a:p>
      </xdr:txBody>
    </xdr:sp>
    <xdr:clientData/>
  </xdr:twoCellAnchor>
  <xdr:twoCellAnchor>
    <xdr:from>
      <xdr:col>5</xdr:col>
      <xdr:colOff>762000</xdr:colOff>
      <xdr:row>61</xdr:row>
      <xdr:rowOff>1</xdr:rowOff>
    </xdr:from>
    <xdr:to>
      <xdr:col>11</xdr:col>
      <xdr:colOff>9525</xdr:colOff>
      <xdr:row>67</xdr:row>
      <xdr:rowOff>153866</xdr:rowOff>
    </xdr:to>
    <xdr:sp macro="" textlink="">
      <xdr:nvSpPr>
        <xdr:cNvPr id="2" name="Textfeld 1">
          <a:extLst>
            <a:ext uri="{FF2B5EF4-FFF2-40B4-BE49-F238E27FC236}">
              <a16:creationId xmlns:a16="http://schemas.microsoft.com/office/drawing/2014/main" id="{7B15FC35-ED51-4B9E-9C69-0779014CD82E}"/>
            </a:ext>
          </a:extLst>
        </xdr:cNvPr>
        <xdr:cNvSpPr txBox="1"/>
      </xdr:nvSpPr>
      <xdr:spPr>
        <a:xfrm>
          <a:off x="7480788" y="11832982"/>
          <a:ext cx="3819525" cy="1304192"/>
        </a:xfrm>
        <a:prstGeom prst="rect">
          <a:avLst/>
        </a:prstGeom>
        <a:solidFill>
          <a:schemeClr val="lt1"/>
        </a:solidFill>
        <a:ln w="12700" cmpd="sng">
          <a:solidFill>
            <a:srgbClr val="005D8E"/>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AT" sz="1100">
              <a:solidFill>
                <a:schemeClr val="dk1"/>
              </a:solidFill>
              <a:effectLst/>
              <a:latin typeface="+mn-lt"/>
              <a:ea typeface="+mn-ea"/>
              <a:cs typeface="+mn-cs"/>
            </a:rPr>
            <a:t>Average</a:t>
          </a:r>
          <a:r>
            <a:rPr lang="de-AT" sz="1100" baseline="0">
              <a:solidFill>
                <a:schemeClr val="dk1"/>
              </a:solidFill>
              <a:effectLst/>
              <a:latin typeface="+mn-lt"/>
              <a:ea typeface="+mn-ea"/>
              <a:cs typeface="+mn-cs"/>
            </a:rPr>
            <a:t> n</a:t>
          </a:r>
          <a:r>
            <a:rPr lang="de-AT" sz="1100">
              <a:solidFill>
                <a:schemeClr val="dk1"/>
              </a:solidFill>
              <a:effectLst/>
              <a:latin typeface="+mn-lt"/>
              <a:ea typeface="+mn-ea"/>
              <a:cs typeface="+mn-cs"/>
            </a:rPr>
            <a:t>ational data for the emission factor of district heating generation</a:t>
          </a:r>
          <a:r>
            <a:rPr lang="de-AT" sz="1100" baseline="0">
              <a:solidFill>
                <a:schemeClr val="dk1"/>
              </a:solidFill>
              <a:effectLst/>
              <a:latin typeface="+mn-lt"/>
              <a:ea typeface="+mn-ea"/>
              <a:cs typeface="+mn-cs"/>
            </a:rPr>
            <a:t> has been provided on country level. </a:t>
          </a:r>
          <a:r>
            <a:rPr lang="de-AT" sz="1100" kern="1200" baseline="0"/>
            <a:t>However, you might want to use </a:t>
          </a:r>
          <a:r>
            <a:rPr lang="de-AT" sz="1100" b="1" kern="1200" baseline="0"/>
            <a:t>regional data for the district heating network in your campaign area</a:t>
          </a:r>
          <a:r>
            <a:rPr lang="de-AT" sz="1100" kern="1200" baseline="0"/>
            <a:t>.</a:t>
          </a:r>
        </a:p>
        <a:p>
          <a:pPr marL="0" marR="0" lvl="0" indent="0" defTabSz="914400" eaLnBrk="1" fontAlgn="auto" latinLnBrk="0" hangingPunct="1">
            <a:lnSpc>
              <a:spcPct val="100000"/>
            </a:lnSpc>
            <a:spcBef>
              <a:spcPts val="0"/>
            </a:spcBef>
            <a:spcAft>
              <a:spcPts val="0"/>
            </a:spcAft>
            <a:buClrTx/>
            <a:buSzTx/>
            <a:buFontTx/>
            <a:buNone/>
            <a:tabLst/>
            <a:defRPr/>
          </a:pPr>
          <a:r>
            <a:rPr lang="de-AT" sz="1100" kern="1200" baseline="0"/>
            <a:t>Information on the emission factor of your regional network should be available on district heating invoices or the district heating operator's website.</a:t>
          </a:r>
        </a:p>
      </xdr:txBody>
    </xdr:sp>
    <xdr:clientData/>
  </xdr:twoCellAnchor>
  <xdr:twoCellAnchor>
    <xdr:from>
      <xdr:col>5</xdr:col>
      <xdr:colOff>762000</xdr:colOff>
      <xdr:row>69</xdr:row>
      <xdr:rowOff>0</xdr:rowOff>
    </xdr:from>
    <xdr:to>
      <xdr:col>11</xdr:col>
      <xdr:colOff>9525</xdr:colOff>
      <xdr:row>72</xdr:row>
      <xdr:rowOff>183173</xdr:rowOff>
    </xdr:to>
    <xdr:sp macro="" textlink="">
      <xdr:nvSpPr>
        <xdr:cNvPr id="3" name="Textfeld 2">
          <a:extLst>
            <a:ext uri="{FF2B5EF4-FFF2-40B4-BE49-F238E27FC236}">
              <a16:creationId xmlns:a16="http://schemas.microsoft.com/office/drawing/2014/main" id="{2F5E3FDA-7F58-4D99-8B69-F6D3FC0FCB00}"/>
            </a:ext>
          </a:extLst>
        </xdr:cNvPr>
        <xdr:cNvSpPr txBox="1"/>
      </xdr:nvSpPr>
      <xdr:spPr>
        <a:xfrm>
          <a:off x="7480788" y="13364308"/>
          <a:ext cx="3819525" cy="754673"/>
        </a:xfrm>
        <a:prstGeom prst="rect">
          <a:avLst/>
        </a:prstGeom>
        <a:solidFill>
          <a:schemeClr val="lt1"/>
        </a:solidFill>
        <a:ln w="12700" cmpd="sng">
          <a:solidFill>
            <a:srgbClr val="005D8E"/>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AT" sz="1100">
              <a:solidFill>
                <a:schemeClr val="dk1"/>
              </a:solidFill>
              <a:effectLst/>
              <a:latin typeface="+mn-lt"/>
              <a:ea typeface="+mn-ea"/>
              <a:cs typeface="+mn-cs"/>
            </a:rPr>
            <a:t>National data for the shares of energy carries</a:t>
          </a:r>
          <a:r>
            <a:rPr lang="de-AT" sz="1100" baseline="0">
              <a:solidFill>
                <a:schemeClr val="dk1"/>
              </a:solidFill>
              <a:effectLst/>
              <a:latin typeface="+mn-lt"/>
              <a:ea typeface="+mn-ea"/>
              <a:cs typeface="+mn-cs"/>
            </a:rPr>
            <a:t> in</a:t>
          </a:r>
          <a:r>
            <a:rPr lang="de-AT" sz="1100">
              <a:solidFill>
                <a:schemeClr val="dk1"/>
              </a:solidFill>
              <a:effectLst/>
              <a:latin typeface="+mn-lt"/>
              <a:ea typeface="+mn-ea"/>
              <a:cs typeface="+mn-cs"/>
            </a:rPr>
            <a:t> district heating generation</a:t>
          </a:r>
          <a:r>
            <a:rPr lang="de-AT" sz="1100" baseline="0">
              <a:solidFill>
                <a:schemeClr val="dk1"/>
              </a:solidFill>
              <a:effectLst/>
              <a:latin typeface="+mn-lt"/>
              <a:ea typeface="+mn-ea"/>
              <a:cs typeface="+mn-cs"/>
            </a:rPr>
            <a:t> has been provided on country level using 2024 data from EUROSTAT (nrg_bal_peh).</a:t>
          </a:r>
          <a:endParaRPr lang="de-AT">
            <a:effectLst/>
          </a:endParaRPr>
        </a:p>
      </xdr:txBody>
    </xdr:sp>
    <xdr:clientData/>
  </xdr:twoCellAnchor>
  <xdr:twoCellAnchor>
    <xdr:from>
      <xdr:col>6</xdr:col>
      <xdr:colOff>0</xdr:colOff>
      <xdr:row>32</xdr:row>
      <xdr:rowOff>0</xdr:rowOff>
    </xdr:from>
    <xdr:to>
      <xdr:col>11</xdr:col>
      <xdr:colOff>9525</xdr:colOff>
      <xdr:row>42</xdr:row>
      <xdr:rowOff>115033</xdr:rowOff>
    </xdr:to>
    <xdr:sp macro="" textlink="">
      <xdr:nvSpPr>
        <xdr:cNvPr id="4" name="Textfeld 3">
          <a:extLst>
            <a:ext uri="{FF2B5EF4-FFF2-40B4-BE49-F238E27FC236}">
              <a16:creationId xmlns:a16="http://schemas.microsoft.com/office/drawing/2014/main" id="{FBC313B4-AF4A-4B8B-BA83-7E89C64F3D6E}"/>
            </a:ext>
          </a:extLst>
        </xdr:cNvPr>
        <xdr:cNvSpPr txBox="1"/>
      </xdr:nvSpPr>
      <xdr:spPr>
        <a:xfrm>
          <a:off x="7546731" y="6125308"/>
          <a:ext cx="3819525" cy="2020033"/>
        </a:xfrm>
        <a:prstGeom prst="rect">
          <a:avLst/>
        </a:prstGeom>
        <a:solidFill>
          <a:schemeClr val="lt1"/>
        </a:solidFill>
        <a:ln w="12700" cmpd="sng">
          <a:solidFill>
            <a:srgbClr val="005D8E"/>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kern="1200"/>
            <a:t>Energy price data is relevant for all cost saving componenents.</a:t>
          </a:r>
        </a:p>
        <a:p>
          <a:r>
            <a:rPr lang="de-AT" sz="1100" b="0" kern="1200"/>
            <a:t>Please</a:t>
          </a:r>
          <a:r>
            <a:rPr lang="de-AT" sz="1100" b="0" kern="1200" baseline="0"/>
            <a:t> make sure to use recent data on energy prices, including VAT.</a:t>
          </a:r>
        </a:p>
        <a:p>
          <a:r>
            <a:rPr lang="de-AT" sz="1100" b="0" kern="1200" baseline="0">
              <a:solidFill>
                <a:sysClr val="windowText" lastClr="000000"/>
              </a:solidFill>
            </a:rPr>
            <a:t>Country specific default values for all energy carriers have been prepared. However, this price data was researched in June 2026 and given the current volatility of the energy market, it is advised to check and update price data for your calculations.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76200</xdr:colOff>
      <xdr:row>46</xdr:row>
      <xdr:rowOff>49530</xdr:rowOff>
    </xdr:from>
    <xdr:to>
      <xdr:col>16</xdr:col>
      <xdr:colOff>279750</xdr:colOff>
      <xdr:row>53</xdr:row>
      <xdr:rowOff>67940</xdr:rowOff>
    </xdr:to>
    <xdr:pic>
      <xdr:nvPicPr>
        <xdr:cNvPr id="3" name="Grafik 2">
          <a:extLst>
            <a:ext uri="{FF2B5EF4-FFF2-40B4-BE49-F238E27FC236}">
              <a16:creationId xmlns:a16="http://schemas.microsoft.com/office/drawing/2014/main" id="{3EB00135-64A6-9B73-3513-7B8F8C261821}"/>
            </a:ext>
          </a:extLst>
        </xdr:cNvPr>
        <xdr:cNvPicPr>
          <a:picLocks noChangeAspect="1"/>
        </xdr:cNvPicPr>
      </xdr:nvPicPr>
      <xdr:blipFill>
        <a:blip xmlns:r="http://schemas.openxmlformats.org/officeDocument/2006/relationships" r:embed="rId1"/>
        <a:stretch>
          <a:fillRect/>
        </a:stretch>
      </xdr:blipFill>
      <xdr:spPr>
        <a:xfrm>
          <a:off x="12904694" y="8817012"/>
          <a:ext cx="3480151" cy="1466210"/>
        </a:xfrm>
        <a:prstGeom prst="rect">
          <a:avLst/>
        </a:prstGeom>
      </xdr:spPr>
    </xdr:pic>
    <xdr:clientData/>
  </xdr:twoCellAnchor>
  <xdr:twoCellAnchor editAs="oneCell">
    <xdr:from>
      <xdr:col>11</xdr:col>
      <xdr:colOff>4482</xdr:colOff>
      <xdr:row>33</xdr:row>
      <xdr:rowOff>170329</xdr:rowOff>
    </xdr:from>
    <xdr:to>
      <xdr:col>18</xdr:col>
      <xdr:colOff>659</xdr:colOff>
      <xdr:row>43</xdr:row>
      <xdr:rowOff>159002</xdr:rowOff>
    </xdr:to>
    <xdr:pic>
      <xdr:nvPicPr>
        <xdr:cNvPr id="2" name="Grafik 1">
          <a:extLst>
            <a:ext uri="{FF2B5EF4-FFF2-40B4-BE49-F238E27FC236}">
              <a16:creationId xmlns:a16="http://schemas.microsoft.com/office/drawing/2014/main" id="{1CFDC2AD-A1AD-3370-1A0E-34A6973F75AF}"/>
            </a:ext>
          </a:extLst>
        </xdr:cNvPr>
        <xdr:cNvPicPr>
          <a:picLocks noChangeAspect="1"/>
        </xdr:cNvPicPr>
      </xdr:nvPicPr>
      <xdr:blipFill>
        <a:blip xmlns:r="http://schemas.openxmlformats.org/officeDocument/2006/relationships" r:embed="rId2"/>
        <a:stretch>
          <a:fillRect/>
        </a:stretch>
      </xdr:blipFill>
      <xdr:spPr>
        <a:xfrm>
          <a:off x="12832976" y="6660776"/>
          <a:ext cx="4542406" cy="2072968"/>
        </a:xfrm>
        <a:prstGeom prst="rect">
          <a:avLst/>
        </a:prstGeom>
      </xdr:spPr>
    </xdr:pic>
    <xdr:clientData/>
  </xdr:twoCellAnchor>
  <xdr:twoCellAnchor editAs="oneCell">
    <xdr:from>
      <xdr:col>18</xdr:col>
      <xdr:colOff>119903</xdr:colOff>
      <xdr:row>29</xdr:row>
      <xdr:rowOff>157990</xdr:rowOff>
    </xdr:from>
    <xdr:to>
      <xdr:col>25</xdr:col>
      <xdr:colOff>239807</xdr:colOff>
      <xdr:row>67</xdr:row>
      <xdr:rowOff>17386</xdr:rowOff>
    </xdr:to>
    <xdr:pic>
      <xdr:nvPicPr>
        <xdr:cNvPr id="4" name="Grafik 3">
          <a:extLst>
            <a:ext uri="{FF2B5EF4-FFF2-40B4-BE49-F238E27FC236}">
              <a16:creationId xmlns:a16="http://schemas.microsoft.com/office/drawing/2014/main" id="{05FFD08D-E1A1-C162-829D-D66F082DEF9C}"/>
            </a:ext>
          </a:extLst>
        </xdr:cNvPr>
        <xdr:cNvPicPr>
          <a:picLocks noChangeAspect="1"/>
        </xdr:cNvPicPr>
      </xdr:nvPicPr>
      <xdr:blipFill>
        <a:blip xmlns:r="http://schemas.openxmlformats.org/officeDocument/2006/relationships" r:embed="rId3"/>
        <a:stretch>
          <a:fillRect/>
        </a:stretch>
      </xdr:blipFill>
      <xdr:spPr>
        <a:xfrm>
          <a:off x="16379638" y="6388461"/>
          <a:ext cx="4277286" cy="8026242"/>
        </a:xfrm>
        <a:prstGeom prst="rect">
          <a:avLst/>
        </a:prstGeom>
      </xdr:spPr>
    </xdr:pic>
    <xdr:clientData/>
  </xdr:twoCellAnchor>
  <xdr:twoCellAnchor editAs="oneCell">
    <xdr:from>
      <xdr:col>11</xdr:col>
      <xdr:colOff>78441</xdr:colOff>
      <xdr:row>54</xdr:row>
      <xdr:rowOff>11206</xdr:rowOff>
    </xdr:from>
    <xdr:to>
      <xdr:col>18</xdr:col>
      <xdr:colOff>73946</xdr:colOff>
      <xdr:row>68</xdr:row>
      <xdr:rowOff>89648</xdr:rowOff>
    </xdr:to>
    <xdr:pic>
      <xdr:nvPicPr>
        <xdr:cNvPr id="5" name="Grafik 4">
          <a:extLst>
            <a:ext uri="{FF2B5EF4-FFF2-40B4-BE49-F238E27FC236}">
              <a16:creationId xmlns:a16="http://schemas.microsoft.com/office/drawing/2014/main" id="{E986AECA-DEFD-0FB2-F3FD-6ABF496C0E69}"/>
            </a:ext>
          </a:extLst>
        </xdr:cNvPr>
        <xdr:cNvPicPr>
          <a:picLocks noChangeAspect="1"/>
        </xdr:cNvPicPr>
      </xdr:nvPicPr>
      <xdr:blipFill>
        <a:blip xmlns:r="http://schemas.openxmlformats.org/officeDocument/2006/relationships" r:embed="rId4"/>
        <a:stretch>
          <a:fillRect/>
        </a:stretch>
      </xdr:blipFill>
      <xdr:spPr>
        <a:xfrm>
          <a:off x="12113559" y="11183471"/>
          <a:ext cx="4220124" cy="3070411"/>
        </a:xfrm>
        <a:prstGeom prst="rect">
          <a:avLst/>
        </a:prstGeom>
      </xdr:spPr>
    </xdr:pic>
    <xdr:clientData/>
  </xdr:twoCellAnchor>
  <xdr:twoCellAnchor editAs="oneCell">
    <xdr:from>
      <xdr:col>22</xdr:col>
      <xdr:colOff>4980</xdr:colOff>
      <xdr:row>110</xdr:row>
      <xdr:rowOff>39843</xdr:rowOff>
    </xdr:from>
    <xdr:to>
      <xdr:col>32</xdr:col>
      <xdr:colOff>361822</xdr:colOff>
      <xdr:row>128</xdr:row>
      <xdr:rowOff>70399</xdr:rowOff>
    </xdr:to>
    <xdr:pic>
      <xdr:nvPicPr>
        <xdr:cNvPr id="6" name="Grafik 5">
          <a:extLst>
            <a:ext uri="{FF2B5EF4-FFF2-40B4-BE49-F238E27FC236}">
              <a16:creationId xmlns:a16="http://schemas.microsoft.com/office/drawing/2014/main" id="{E28DB5EA-F79B-2B47-9115-017083B90FE4}"/>
            </a:ext>
          </a:extLst>
        </xdr:cNvPr>
        <xdr:cNvPicPr>
          <a:picLocks noChangeAspect="1"/>
        </xdr:cNvPicPr>
      </xdr:nvPicPr>
      <xdr:blipFill>
        <a:blip xmlns:r="http://schemas.openxmlformats.org/officeDocument/2006/relationships" r:embed="rId5"/>
        <a:stretch>
          <a:fillRect/>
        </a:stretch>
      </xdr:blipFill>
      <xdr:spPr>
        <a:xfrm>
          <a:off x="20080941" y="24772470"/>
          <a:ext cx="6731742" cy="3865459"/>
        </a:xfrm>
        <a:prstGeom prst="rect">
          <a:avLst/>
        </a:prstGeom>
      </xdr:spPr>
    </xdr:pic>
    <xdr:clientData/>
  </xdr:twoCellAnchor>
  <xdr:twoCellAnchor editAs="oneCell">
    <xdr:from>
      <xdr:col>8</xdr:col>
      <xdr:colOff>602626</xdr:colOff>
      <xdr:row>174</xdr:row>
      <xdr:rowOff>14943</xdr:rowOff>
    </xdr:from>
    <xdr:to>
      <xdr:col>22</xdr:col>
      <xdr:colOff>82225</xdr:colOff>
      <xdr:row>197</xdr:row>
      <xdr:rowOff>110175</xdr:rowOff>
    </xdr:to>
    <xdr:pic>
      <xdr:nvPicPr>
        <xdr:cNvPr id="7" name="Grafik 6">
          <a:extLst>
            <a:ext uri="{FF2B5EF4-FFF2-40B4-BE49-F238E27FC236}">
              <a16:creationId xmlns:a16="http://schemas.microsoft.com/office/drawing/2014/main" id="{8C6EAED8-FD50-C7D1-CE65-005E96BBDE42}"/>
            </a:ext>
          </a:extLst>
        </xdr:cNvPr>
        <xdr:cNvPicPr>
          <a:picLocks noChangeAspect="1"/>
        </xdr:cNvPicPr>
      </xdr:nvPicPr>
      <xdr:blipFill>
        <a:blip xmlns:r="http://schemas.openxmlformats.org/officeDocument/2006/relationships" r:embed="rId6"/>
        <a:stretch>
          <a:fillRect/>
        </a:stretch>
      </xdr:blipFill>
      <xdr:spPr>
        <a:xfrm>
          <a:off x="11584391" y="36785178"/>
          <a:ext cx="9516513" cy="4906291"/>
        </a:xfrm>
        <a:prstGeom prst="rect">
          <a:avLst/>
        </a:prstGeom>
      </xdr:spPr>
    </xdr:pic>
    <xdr:clientData/>
  </xdr:twoCellAnchor>
  <xdr:twoCellAnchor editAs="oneCell">
    <xdr:from>
      <xdr:col>9</xdr:col>
      <xdr:colOff>323727</xdr:colOff>
      <xdr:row>87</xdr:row>
      <xdr:rowOff>127002</xdr:rowOff>
    </xdr:from>
    <xdr:to>
      <xdr:col>16</xdr:col>
      <xdr:colOff>180031</xdr:colOff>
      <xdr:row>100</xdr:row>
      <xdr:rowOff>26150</xdr:rowOff>
    </xdr:to>
    <xdr:pic>
      <xdr:nvPicPr>
        <xdr:cNvPr id="8" name="Grafik 7">
          <a:extLst>
            <a:ext uri="{FF2B5EF4-FFF2-40B4-BE49-F238E27FC236}">
              <a16:creationId xmlns:a16="http://schemas.microsoft.com/office/drawing/2014/main" id="{F712BE3C-BDCC-44D2-9421-E69F062EFB46}"/>
            </a:ext>
          </a:extLst>
        </xdr:cNvPr>
        <xdr:cNvPicPr>
          <a:picLocks noChangeAspect="1"/>
        </xdr:cNvPicPr>
      </xdr:nvPicPr>
      <xdr:blipFill>
        <a:blip xmlns:r="http://schemas.openxmlformats.org/officeDocument/2006/relationships" r:embed="rId7"/>
        <a:stretch>
          <a:fillRect/>
        </a:stretch>
      </xdr:blipFill>
      <xdr:spPr>
        <a:xfrm>
          <a:off x="11942982" y="18489708"/>
          <a:ext cx="5309834" cy="2618442"/>
        </a:xfrm>
        <a:prstGeom prst="rect">
          <a:avLst/>
        </a:prstGeom>
      </xdr:spPr>
    </xdr:pic>
    <xdr:clientData/>
  </xdr:twoCellAnchor>
  <xdr:twoCellAnchor editAs="oneCell">
    <xdr:from>
      <xdr:col>16</xdr:col>
      <xdr:colOff>264005</xdr:colOff>
      <xdr:row>87</xdr:row>
      <xdr:rowOff>24903</xdr:rowOff>
    </xdr:from>
    <xdr:to>
      <xdr:col>24</xdr:col>
      <xdr:colOff>7</xdr:colOff>
      <xdr:row>99</xdr:row>
      <xdr:rowOff>189256</xdr:rowOff>
    </xdr:to>
    <xdr:pic>
      <xdr:nvPicPr>
        <xdr:cNvPr id="9" name="Grafik 8">
          <a:extLst>
            <a:ext uri="{FF2B5EF4-FFF2-40B4-BE49-F238E27FC236}">
              <a16:creationId xmlns:a16="http://schemas.microsoft.com/office/drawing/2014/main" id="{329EBEAB-65AA-43D9-A438-7EB27FEDD594}"/>
            </a:ext>
          </a:extLst>
        </xdr:cNvPr>
        <xdr:cNvPicPr>
          <a:picLocks noChangeAspect="1"/>
        </xdr:cNvPicPr>
      </xdr:nvPicPr>
      <xdr:blipFill>
        <a:blip xmlns:r="http://schemas.openxmlformats.org/officeDocument/2006/relationships" r:embed="rId8"/>
        <a:stretch>
          <a:fillRect/>
        </a:stretch>
      </xdr:blipFill>
      <xdr:spPr>
        <a:xfrm>
          <a:off x="17336790" y="18387609"/>
          <a:ext cx="4835924" cy="2674471"/>
        </a:xfrm>
        <a:prstGeom prst="rect">
          <a:avLst/>
        </a:prstGeom>
      </xdr:spPr>
    </xdr:pic>
    <xdr:clientData/>
  </xdr:twoCellAnchor>
  <xdr:twoCellAnchor editAs="oneCell">
    <xdr:from>
      <xdr:col>13</xdr:col>
      <xdr:colOff>635839</xdr:colOff>
      <xdr:row>243</xdr:row>
      <xdr:rowOff>193524</xdr:rowOff>
    </xdr:from>
    <xdr:to>
      <xdr:col>22</xdr:col>
      <xdr:colOff>459918</xdr:colOff>
      <xdr:row>265</xdr:row>
      <xdr:rowOff>145865</xdr:rowOff>
    </xdr:to>
    <xdr:pic>
      <xdr:nvPicPr>
        <xdr:cNvPr id="10" name="Grafik 9">
          <a:extLst>
            <a:ext uri="{FF2B5EF4-FFF2-40B4-BE49-F238E27FC236}">
              <a16:creationId xmlns:a16="http://schemas.microsoft.com/office/drawing/2014/main" id="{5927DAB1-4725-9AE7-0661-D996D472C7A1}"/>
            </a:ext>
          </a:extLst>
        </xdr:cNvPr>
        <xdr:cNvPicPr>
          <a:picLocks noChangeAspect="1"/>
        </xdr:cNvPicPr>
      </xdr:nvPicPr>
      <xdr:blipFill>
        <a:blip xmlns:r="http://schemas.openxmlformats.org/officeDocument/2006/relationships" r:embed="rId9"/>
        <a:stretch>
          <a:fillRect/>
        </a:stretch>
      </xdr:blipFill>
      <xdr:spPr>
        <a:xfrm>
          <a:off x="15809315" y="50818143"/>
          <a:ext cx="5593507" cy="4475961"/>
        </a:xfrm>
        <a:prstGeom prst="rect">
          <a:avLst/>
        </a:prstGeom>
      </xdr:spPr>
    </xdr:pic>
    <xdr:clientData/>
  </xdr:twoCellAnchor>
  <xdr:twoCellAnchor editAs="oneCell">
    <xdr:from>
      <xdr:col>13</xdr:col>
      <xdr:colOff>592667</xdr:colOff>
      <xdr:row>266</xdr:row>
      <xdr:rowOff>97470</xdr:rowOff>
    </xdr:from>
    <xdr:to>
      <xdr:col>22</xdr:col>
      <xdr:colOff>181429</xdr:colOff>
      <xdr:row>273</xdr:row>
      <xdr:rowOff>131226</xdr:rowOff>
    </xdr:to>
    <xdr:pic>
      <xdr:nvPicPr>
        <xdr:cNvPr id="11" name="Grafik 10">
          <a:extLst>
            <a:ext uri="{FF2B5EF4-FFF2-40B4-BE49-F238E27FC236}">
              <a16:creationId xmlns:a16="http://schemas.microsoft.com/office/drawing/2014/main" id="{F77821F6-6DB2-782D-1AB2-C34E17D96FE2}"/>
            </a:ext>
          </a:extLst>
        </xdr:cNvPr>
        <xdr:cNvPicPr>
          <a:picLocks noChangeAspect="1"/>
        </xdr:cNvPicPr>
      </xdr:nvPicPr>
      <xdr:blipFill>
        <a:blip xmlns:r="http://schemas.openxmlformats.org/officeDocument/2006/relationships" r:embed="rId10"/>
        <a:stretch>
          <a:fillRect/>
        </a:stretch>
      </xdr:blipFill>
      <xdr:spPr>
        <a:xfrm>
          <a:off x="15887096" y="55451327"/>
          <a:ext cx="5358190" cy="14730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22409</xdr:colOff>
      <xdr:row>15</xdr:row>
      <xdr:rowOff>31379</xdr:rowOff>
    </xdr:from>
    <xdr:to>
      <xdr:col>11</xdr:col>
      <xdr:colOff>562537</xdr:colOff>
      <xdr:row>17</xdr:row>
      <xdr:rowOff>31377</xdr:rowOff>
    </xdr:to>
    <xdr:pic>
      <xdr:nvPicPr>
        <xdr:cNvPr id="2" name="Grafik 1">
          <a:extLst>
            <a:ext uri="{FF2B5EF4-FFF2-40B4-BE49-F238E27FC236}">
              <a16:creationId xmlns:a16="http://schemas.microsoft.com/office/drawing/2014/main" id="{42512564-5A6D-AD1A-8CBC-34D5165C5A90}"/>
            </a:ext>
          </a:extLst>
        </xdr:cNvPr>
        <xdr:cNvPicPr>
          <a:picLocks noChangeAspect="1"/>
        </xdr:cNvPicPr>
      </xdr:nvPicPr>
      <xdr:blipFill>
        <a:blip xmlns:r="http://schemas.openxmlformats.org/officeDocument/2006/relationships" r:embed="rId1"/>
        <a:stretch>
          <a:fillRect/>
        </a:stretch>
      </xdr:blipFill>
      <xdr:spPr>
        <a:xfrm>
          <a:off x="11412068" y="3222814"/>
          <a:ext cx="2256869" cy="416857"/>
        </a:xfrm>
        <a:prstGeom prst="rect">
          <a:avLst/>
        </a:prstGeom>
      </xdr:spPr>
    </xdr:pic>
    <xdr:clientData/>
  </xdr:twoCellAnchor>
  <xdr:twoCellAnchor editAs="oneCell">
    <xdr:from>
      <xdr:col>9</xdr:col>
      <xdr:colOff>31377</xdr:colOff>
      <xdr:row>22</xdr:row>
      <xdr:rowOff>183776</xdr:rowOff>
    </xdr:from>
    <xdr:to>
      <xdr:col>11</xdr:col>
      <xdr:colOff>589990</xdr:colOff>
      <xdr:row>24</xdr:row>
      <xdr:rowOff>71314</xdr:rowOff>
    </xdr:to>
    <xdr:pic>
      <xdr:nvPicPr>
        <xdr:cNvPr id="3" name="Grafik 2">
          <a:extLst>
            <a:ext uri="{FF2B5EF4-FFF2-40B4-BE49-F238E27FC236}">
              <a16:creationId xmlns:a16="http://schemas.microsoft.com/office/drawing/2014/main" id="{D7DA1B35-817F-415D-8907-99F9F2BA6EEC}"/>
            </a:ext>
          </a:extLst>
        </xdr:cNvPr>
        <xdr:cNvPicPr>
          <a:picLocks noChangeAspect="1"/>
        </xdr:cNvPicPr>
      </xdr:nvPicPr>
      <xdr:blipFill>
        <a:blip xmlns:r="http://schemas.openxmlformats.org/officeDocument/2006/relationships" r:embed="rId2"/>
        <a:stretch>
          <a:fillRect/>
        </a:stretch>
      </xdr:blipFill>
      <xdr:spPr>
        <a:xfrm>
          <a:off x="11421036" y="4831976"/>
          <a:ext cx="2303929" cy="308879"/>
        </a:xfrm>
        <a:prstGeom prst="rect">
          <a:avLst/>
        </a:prstGeom>
      </xdr:spPr>
    </xdr:pic>
    <xdr:clientData/>
  </xdr:twoCellAnchor>
  <xdr:twoCellAnchor editAs="oneCell">
    <xdr:from>
      <xdr:col>9</xdr:col>
      <xdr:colOff>26894</xdr:colOff>
      <xdr:row>24</xdr:row>
      <xdr:rowOff>188259</xdr:rowOff>
    </xdr:from>
    <xdr:to>
      <xdr:col>11</xdr:col>
      <xdr:colOff>475129</xdr:colOff>
      <xdr:row>26</xdr:row>
      <xdr:rowOff>20272</xdr:rowOff>
    </xdr:to>
    <xdr:pic>
      <xdr:nvPicPr>
        <xdr:cNvPr id="4" name="Grafik 3">
          <a:extLst>
            <a:ext uri="{FF2B5EF4-FFF2-40B4-BE49-F238E27FC236}">
              <a16:creationId xmlns:a16="http://schemas.microsoft.com/office/drawing/2014/main" id="{DE7BF885-E964-9184-C077-4A54C2A13DEC}"/>
            </a:ext>
          </a:extLst>
        </xdr:cNvPr>
        <xdr:cNvPicPr>
          <a:picLocks noChangeAspect="1"/>
        </xdr:cNvPicPr>
      </xdr:nvPicPr>
      <xdr:blipFill>
        <a:blip xmlns:r="http://schemas.openxmlformats.org/officeDocument/2006/relationships" r:embed="rId3"/>
        <a:stretch>
          <a:fillRect/>
        </a:stretch>
      </xdr:blipFill>
      <xdr:spPr>
        <a:xfrm>
          <a:off x="11416553" y="5257800"/>
          <a:ext cx="2164976" cy="244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22409</xdr:colOff>
      <xdr:row>15</xdr:row>
      <xdr:rowOff>31379</xdr:rowOff>
    </xdr:from>
    <xdr:to>
      <xdr:col>11</xdr:col>
      <xdr:colOff>562537</xdr:colOff>
      <xdr:row>17</xdr:row>
      <xdr:rowOff>31377</xdr:rowOff>
    </xdr:to>
    <xdr:pic>
      <xdr:nvPicPr>
        <xdr:cNvPr id="2" name="Grafik 1">
          <a:extLst>
            <a:ext uri="{FF2B5EF4-FFF2-40B4-BE49-F238E27FC236}">
              <a16:creationId xmlns:a16="http://schemas.microsoft.com/office/drawing/2014/main" id="{671A27CC-3E07-4010-B0FB-B8C2D2FBCFAB}"/>
            </a:ext>
          </a:extLst>
        </xdr:cNvPr>
        <xdr:cNvPicPr>
          <a:picLocks noChangeAspect="1"/>
        </xdr:cNvPicPr>
      </xdr:nvPicPr>
      <xdr:blipFill>
        <a:blip xmlns:r="http://schemas.openxmlformats.org/officeDocument/2006/relationships" r:embed="rId1"/>
        <a:stretch>
          <a:fillRect/>
        </a:stretch>
      </xdr:blipFill>
      <xdr:spPr>
        <a:xfrm>
          <a:off x="11418119" y="3212729"/>
          <a:ext cx="2254628" cy="415288"/>
        </a:xfrm>
        <a:prstGeom prst="rect">
          <a:avLst/>
        </a:prstGeom>
      </xdr:spPr>
    </xdr:pic>
    <xdr:clientData/>
  </xdr:twoCellAnchor>
  <xdr:twoCellAnchor editAs="oneCell">
    <xdr:from>
      <xdr:col>9</xdr:col>
      <xdr:colOff>31377</xdr:colOff>
      <xdr:row>22</xdr:row>
      <xdr:rowOff>170329</xdr:rowOff>
    </xdr:from>
    <xdr:to>
      <xdr:col>12</xdr:col>
      <xdr:colOff>4882</xdr:colOff>
      <xdr:row>24</xdr:row>
      <xdr:rowOff>57867</xdr:rowOff>
    </xdr:to>
    <xdr:pic>
      <xdr:nvPicPr>
        <xdr:cNvPr id="3" name="Grafik 2">
          <a:extLst>
            <a:ext uri="{FF2B5EF4-FFF2-40B4-BE49-F238E27FC236}">
              <a16:creationId xmlns:a16="http://schemas.microsoft.com/office/drawing/2014/main" id="{111223A3-4066-43F4-B6FE-9B5F900D39EF}"/>
            </a:ext>
          </a:extLst>
        </xdr:cNvPr>
        <xdr:cNvPicPr>
          <a:picLocks noChangeAspect="1"/>
        </xdr:cNvPicPr>
      </xdr:nvPicPr>
      <xdr:blipFill>
        <a:blip xmlns:r="http://schemas.openxmlformats.org/officeDocument/2006/relationships" r:embed="rId2"/>
        <a:stretch>
          <a:fillRect/>
        </a:stretch>
      </xdr:blipFill>
      <xdr:spPr>
        <a:xfrm>
          <a:off x="11421036" y="4818529"/>
          <a:ext cx="2303929" cy="308879"/>
        </a:xfrm>
        <a:prstGeom prst="rect">
          <a:avLst/>
        </a:prstGeom>
      </xdr:spPr>
    </xdr:pic>
    <xdr:clientData/>
  </xdr:twoCellAnchor>
  <xdr:twoCellAnchor editAs="oneCell">
    <xdr:from>
      <xdr:col>9</xdr:col>
      <xdr:colOff>26894</xdr:colOff>
      <xdr:row>24</xdr:row>
      <xdr:rowOff>188259</xdr:rowOff>
    </xdr:from>
    <xdr:to>
      <xdr:col>11</xdr:col>
      <xdr:colOff>475129</xdr:colOff>
      <xdr:row>26</xdr:row>
      <xdr:rowOff>20272</xdr:rowOff>
    </xdr:to>
    <xdr:pic>
      <xdr:nvPicPr>
        <xdr:cNvPr id="4" name="Grafik 3">
          <a:extLst>
            <a:ext uri="{FF2B5EF4-FFF2-40B4-BE49-F238E27FC236}">
              <a16:creationId xmlns:a16="http://schemas.microsoft.com/office/drawing/2014/main" id="{7AD6A57B-E4AD-47E8-8396-CCD05309D61D}"/>
            </a:ext>
          </a:extLst>
        </xdr:cNvPr>
        <xdr:cNvPicPr>
          <a:picLocks noChangeAspect="1"/>
        </xdr:cNvPicPr>
      </xdr:nvPicPr>
      <xdr:blipFill>
        <a:blip xmlns:r="http://schemas.openxmlformats.org/officeDocument/2006/relationships" r:embed="rId3"/>
        <a:stretch>
          <a:fillRect/>
        </a:stretch>
      </xdr:blipFill>
      <xdr:spPr>
        <a:xfrm>
          <a:off x="11422604" y="5240319"/>
          <a:ext cx="2162735" cy="24349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retter Herbert" id="{72C1D021-5BED-40E0-BC77-B521EAE23349}" userId="Tretter Herbert" providerId="None"/>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4" dT="2025-06-03T12:02:57.46" personId="{72C1D021-5BED-40E0-BC77-B521EAE23349}" id="{FF8EA779-5B60-4820-B0D9-F3B962341E19}">
    <text>with hot water SPH buffer storage</text>
  </threadedComment>
</ThreadedComments>
</file>

<file path=xl/threadedComments/threadedComment2.xml><?xml version="1.0" encoding="utf-8"?>
<ThreadedComments xmlns="http://schemas.microsoft.com/office/spreadsheetml/2018/threadedcomments" xmlns:x="http://schemas.openxmlformats.org/spreadsheetml/2006/main">
  <threadedComment ref="E13" dT="2025-06-20T12:53:10.54" personId="{72C1D021-5BED-40E0-BC77-B521EAE23349}" id="{72A594AE-A810-4307-BD01-5326DE825717}">
    <text>Estimation
As 20 m of pipe diameter 25 mm without insulation lead to 30 W/m heat loss
With 70°C flow and 15°C cellar temperature</text>
  </threadedComment>
</ThreadedComments>
</file>

<file path=xl/threadedComments/threadedComment3.xml><?xml version="1.0" encoding="utf-8"?>
<ThreadedComments xmlns="http://schemas.microsoft.com/office/spreadsheetml/2018/threadedcomments" xmlns:x="http://schemas.openxmlformats.org/spreadsheetml/2006/main">
  <threadedComment ref="E13" dT="2025-06-20T12:53:10.54" personId="{72C1D021-5BED-40E0-BC77-B521EAE23349}" id="{E9622519-71B5-4E4D-B00F-958F9FECE387}">
    <text>Estimation
As 20 m of pipe diameter 25 mm without insulation lead to 30 W/m heat loss
With 70°C flow and 15°C cellar temperature</text>
  </threadedComment>
  <threadedComment ref="H18" dT="2025-06-20T13:00:55.25" personId="{72C1D021-5BED-40E0-BC77-B521EAE23349}" id="{6B3422DA-69EE-444F-9255-26A0E6F73F75}">
    <text>Decentral DHW distribution</text>
  </threadedComment>
  <threadedComment ref="H28" dT="2025-06-20T12:59:57.67" personId="{72C1D021-5BED-40E0-BC77-B521EAE23349}" id="{7EBDE693-F84D-464B-B04C-48F3F4EEF265}">
    <text>Decentral DHW distribution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limatealliance.org/saveenergytogether-online-hub/saveenergytogether-municipality-resources/"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8" Type="http://schemas.openxmlformats.org/officeDocument/2006/relationships/hyperlink" Target="https://waermepreise.at/tarifuebersicht/" TargetMode="External"/><Relationship Id="rId13" Type="http://schemas.openxmlformats.org/officeDocument/2006/relationships/hyperlink" Target="https://www.idealo.de/preisvergleich/OffersOfProduct/202048716_-braunkohlebriketts-40-x-25kg-auf-palette-rekord-briketts.html" TargetMode="External"/><Relationship Id="rId18" Type="http://schemas.openxmlformats.org/officeDocument/2006/relationships/hyperlink" Target="https://enefirst.eu/wp-content/uploads/D3.4_MultipleImpactAssessment.pdf" TargetMode="External"/><Relationship Id="rId26" Type="http://schemas.openxmlformats.org/officeDocument/2006/relationships/comments" Target="../comments2.xml"/><Relationship Id="rId3" Type="http://schemas.openxmlformats.org/officeDocument/2006/relationships/hyperlink" Target="https://www.wien.gv.at/umwelt/wasserverbrauch-haushalt-taeglich" TargetMode="External"/><Relationship Id="rId21" Type="http://schemas.openxmlformats.org/officeDocument/2006/relationships/hyperlink" Target="https://enefirst.eu/wp-content/uploads/D3.4_MultipleImpactAssessment.pdf" TargetMode="External"/><Relationship Id="rId7" Type="http://schemas.openxmlformats.org/officeDocument/2006/relationships/hyperlink" Target="https://waermepreise.at/tarifuebersicht/" TargetMode="External"/><Relationship Id="rId12" Type="http://schemas.openxmlformats.org/officeDocument/2006/relationships/hyperlink" Target="https://www.statistik.at/statistiken/land-und-forstwirtschaft/land-und-forstwirtschaftliche-oekonomie-und-preise/erzeugerpreise" TargetMode="External"/><Relationship Id="rId17" Type="http://schemas.openxmlformats.org/officeDocument/2006/relationships/hyperlink" Target="https://enefirst.eu/wp-content/uploads/D3.4_MultipleImpactAssessment.pdf" TargetMode="External"/><Relationship Id="rId25" Type="http://schemas.openxmlformats.org/officeDocument/2006/relationships/vmlDrawing" Target="../drawings/vmlDrawing2.vml"/><Relationship Id="rId2" Type="http://schemas.openxmlformats.org/officeDocument/2006/relationships/hyperlink" Target="https://ec.europa.eu/regional_policy/en/information/publications/guides/2021/economic-appraisal-vademecum-2021-2027-general-principles-and-sector-applications" TargetMode="External"/><Relationship Id="rId16" Type="http://schemas.openxmlformats.org/officeDocument/2006/relationships/hyperlink" Target="https://efdb.apps.eea.europa.eu/" TargetMode="External"/><Relationship Id="rId20" Type="http://schemas.openxmlformats.org/officeDocument/2006/relationships/hyperlink" Target="https://enefirst.eu/wp-content/uploads/D3.4_MultipleImpactAssessment.pdf" TargetMode="External"/><Relationship Id="rId1" Type="http://schemas.openxmlformats.org/officeDocument/2006/relationships/hyperlink" Target="https://webtool.building-typology.eu/" TargetMode="External"/><Relationship Id="rId6" Type="http://schemas.openxmlformats.org/officeDocument/2006/relationships/hyperlink" Target="https://www.umweltberatung.at/download/?id=warmes-wasser-3073-umweltberatung.pdf" TargetMode="External"/><Relationship Id="rId11" Type="http://schemas.openxmlformats.org/officeDocument/2006/relationships/hyperlink" Target="https://www.ganz-wien.at/immobilien-wohnen/energie/fernwaerme-kosten.html" TargetMode="External"/><Relationship Id="rId24" Type="http://schemas.openxmlformats.org/officeDocument/2006/relationships/drawing" Target="../drawings/drawing3.xml"/><Relationship Id="rId5" Type="http://schemas.openxmlformats.org/officeDocument/2006/relationships/hyperlink" Target="https://www.holding-graz.at/de/wasserverbrauch-in-oesterreich/" TargetMode="External"/><Relationship Id="rId15" Type="http://schemas.openxmlformats.org/officeDocument/2006/relationships/hyperlink" Target="https://www.digital.wienbibliothek.at/wbrup/download/pdf/3598188?originalFilename=true" TargetMode="External"/><Relationship Id="rId23" Type="http://schemas.openxmlformats.org/officeDocument/2006/relationships/hyperlink" Target="https://www.statistik.at/statistiken/energie-und-umwelt/energie/energiebilanzen" TargetMode="External"/><Relationship Id="rId10" Type="http://schemas.openxmlformats.org/officeDocument/2006/relationships/hyperlink" Target="https://waermepreise.at/tarifuebersicht/" TargetMode="External"/><Relationship Id="rId19" Type="http://schemas.openxmlformats.org/officeDocument/2006/relationships/hyperlink" Target="https://enefirst.eu/wp-content/uploads/D3.4_MultipleImpactAssessment.pdf" TargetMode="External"/><Relationship Id="rId4" Type="http://schemas.openxmlformats.org/officeDocument/2006/relationships/hyperlink" Target="https://www.umweltfoerderung.at/fileadmin/user_upload/media/umweltfoerderung/Dokumente_Betriebe/Wasser_Betriebe/Studien_Wasserwirtschaft/Wasserverbrauchin_Oesterreich.pdf" TargetMode="External"/><Relationship Id="rId9" Type="http://schemas.openxmlformats.org/officeDocument/2006/relationships/hyperlink" Target="https://waermepreise.at/tarifuebersicht/" TargetMode="External"/><Relationship Id="rId14" Type="http://schemas.openxmlformats.org/officeDocument/2006/relationships/hyperlink" Target="https://www.e-control.at/tarifkalkulator" TargetMode="External"/><Relationship Id="rId22" Type="http://schemas.openxmlformats.org/officeDocument/2006/relationships/hyperlink" Target="https://enefirst.eu/wp-content/uploads/D3.4_MultipleImpactAssessment.pdf" TargetMode="External"/><Relationship Id="rId27"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 Id="rId4" Type="http://schemas.microsoft.com/office/2017/10/relationships/threadedComment" Target="../threadedComments/threadedComment2.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tirol.gv.at/fileadmin/themen/bauen-wohnen/wohnbaufoerderung/downloads_2019/2023_Sanierung_Fibel_web.pdf" TargetMode="Externa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 Id="rId4" Type="http://schemas.microsoft.com/office/2017/10/relationships/threadedComment" Target="../threadedComments/threadedComment3.xm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pro.energy/main/de/load-profiles/cooling/space-cooling" TargetMode="External"/><Relationship Id="rId2" Type="http://schemas.openxmlformats.org/officeDocument/2006/relationships/hyperlink" Target="https://www.tep-energy.ch/de/projekte/detail/p1105_Kennwerte_Gebaeudekuehlung.php" TargetMode="External"/><Relationship Id="rId1" Type="http://schemas.openxmlformats.org/officeDocument/2006/relationships/hyperlink" Target="https://www.co2online.de/energie-sparen/strom-sparen/strom-sparen-stromspartipps/stromverbrauch-im-haushalt/" TargetMode="External"/><Relationship Id="rId6" Type="http://schemas.openxmlformats.org/officeDocument/2006/relationships/hyperlink" Target="https://www.enter.de/blog/klimaanlage-stromverbrauch" TargetMode="External"/><Relationship Id="rId5" Type="http://schemas.openxmlformats.org/officeDocument/2006/relationships/hyperlink" Target="https://indoortemp.com/resources/whats-a-good-seer-rating-and-why-is-it-important" TargetMode="External"/><Relationship Id="rId4" Type="http://schemas.openxmlformats.org/officeDocument/2006/relationships/hyperlink" Target="https://www.oekotest.de/geld-versicherungen/Wie-viel-Strom-verbraucht-eigentlich-ein-Ventilator_13012_1.html"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www.co2online.de/energie-sparen/strom-sparen/strom-sparen-stromspartipps/strom-sparen-tipps-und-tricks/" TargetMode="External"/><Relationship Id="rId1" Type="http://schemas.openxmlformats.org/officeDocument/2006/relationships/hyperlink" Target="https://www.co2online.de/modernisieren-und-bauen/heizungspumpe/heizungspumpe-tausch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544A6-BAD8-4124-89B8-440F69E379EA}">
  <sheetPr>
    <tabColor rgb="FF005D8E"/>
  </sheetPr>
  <dimension ref="A1:N36"/>
  <sheetViews>
    <sheetView showGridLines="0" tabSelected="1" zoomScaleNormal="100" workbookViewId="0">
      <selection activeCell="B1" sqref="B1:J1"/>
    </sheetView>
  </sheetViews>
  <sheetFormatPr baseColWidth="10" defaultColWidth="11.42578125" defaultRowHeight="15" x14ac:dyDescent="0.25"/>
  <cols>
    <col min="1" max="1" width="4.85546875" customWidth="1"/>
    <col min="2" max="2" width="76.5703125" customWidth="1"/>
    <col min="3" max="3" width="5.7109375" customWidth="1"/>
    <col min="11" max="11" width="6" customWidth="1"/>
  </cols>
  <sheetData>
    <row r="1" spans="1:11" ht="33" x14ac:dyDescent="0.6">
      <c r="A1" s="204"/>
      <c r="B1" s="315" t="s">
        <v>902</v>
      </c>
      <c r="C1" s="315"/>
      <c r="D1" s="315"/>
      <c r="E1" s="315"/>
      <c r="F1" s="315"/>
      <c r="G1" s="315"/>
      <c r="H1" s="315"/>
      <c r="I1" s="315"/>
      <c r="J1" s="315"/>
      <c r="K1" s="204"/>
    </row>
    <row r="2" spans="1:11" x14ac:dyDescent="0.25">
      <c r="A2" s="204"/>
      <c r="B2" s="204"/>
      <c r="C2" s="204"/>
      <c r="D2" s="204"/>
      <c r="E2" s="204"/>
      <c r="F2" s="204"/>
      <c r="G2" s="204"/>
      <c r="H2" s="204"/>
      <c r="I2" s="204"/>
      <c r="J2" s="204"/>
      <c r="K2" s="204"/>
    </row>
    <row r="3" spans="1:11" x14ac:dyDescent="0.25">
      <c r="A3" s="204"/>
      <c r="B3" s="204"/>
      <c r="C3" s="204"/>
      <c r="D3" s="171"/>
      <c r="E3" s="171"/>
      <c r="F3" s="171"/>
      <c r="G3" s="171"/>
      <c r="H3" s="171"/>
      <c r="I3" s="171"/>
      <c r="J3" s="171"/>
      <c r="K3" s="204"/>
    </row>
    <row r="4" spans="1:11" x14ac:dyDescent="0.25">
      <c r="A4" s="204"/>
      <c r="B4" s="204"/>
      <c r="C4" s="204"/>
      <c r="D4" s="171"/>
      <c r="E4" s="171"/>
      <c r="F4" s="171"/>
      <c r="G4" s="171"/>
      <c r="H4" s="171"/>
      <c r="I4" s="171"/>
      <c r="J4" s="171"/>
      <c r="K4" s="204"/>
    </row>
    <row r="5" spans="1:11" x14ac:dyDescent="0.25">
      <c r="A5" s="204"/>
      <c r="B5" s="204"/>
      <c r="C5" s="204"/>
      <c r="D5" s="171"/>
      <c r="E5" s="171"/>
      <c r="F5" s="171"/>
      <c r="G5" s="171"/>
      <c r="H5" s="171"/>
      <c r="I5" s="171"/>
      <c r="J5" s="171"/>
      <c r="K5" s="204"/>
    </row>
    <row r="6" spans="1:11" x14ac:dyDescent="0.25">
      <c r="A6" s="204"/>
      <c r="B6" s="204"/>
      <c r="C6" s="204"/>
      <c r="D6" s="171"/>
      <c r="E6" s="171"/>
      <c r="F6" s="171"/>
      <c r="G6" s="171"/>
      <c r="H6" s="171"/>
      <c r="I6" s="171"/>
      <c r="J6" s="171"/>
      <c r="K6" s="204"/>
    </row>
    <row r="7" spans="1:11" x14ac:dyDescent="0.25">
      <c r="A7" s="204"/>
      <c r="B7" s="204"/>
      <c r="C7" s="204"/>
      <c r="D7" s="171"/>
      <c r="E7" s="171"/>
      <c r="F7" s="171"/>
      <c r="G7" s="171"/>
      <c r="H7" s="171"/>
      <c r="I7" s="171"/>
      <c r="J7" s="171"/>
      <c r="K7" s="204"/>
    </row>
    <row r="8" spans="1:11" x14ac:dyDescent="0.25">
      <c r="A8" s="204"/>
      <c r="B8" s="204"/>
      <c r="C8" s="204"/>
      <c r="D8" s="171"/>
      <c r="E8" s="171"/>
      <c r="F8" s="171"/>
      <c r="G8" s="171"/>
      <c r="H8" s="171"/>
      <c r="I8" s="171"/>
      <c r="J8" s="171"/>
      <c r="K8" s="204"/>
    </row>
    <row r="9" spans="1:11" x14ac:dyDescent="0.25">
      <c r="A9" s="204"/>
      <c r="B9" s="204"/>
      <c r="C9" s="204"/>
      <c r="D9" s="171"/>
      <c r="E9" s="171"/>
      <c r="F9" s="171"/>
      <c r="G9" s="171"/>
      <c r="H9" s="171"/>
      <c r="I9" s="171"/>
      <c r="J9" s="171"/>
      <c r="K9" s="204"/>
    </row>
    <row r="10" spans="1:11" x14ac:dyDescent="0.25">
      <c r="A10" s="204"/>
      <c r="B10" s="204"/>
      <c r="C10" s="204"/>
      <c r="D10" s="171"/>
      <c r="E10" s="171"/>
      <c r="F10" s="171"/>
      <c r="G10" s="171"/>
      <c r="H10" s="171"/>
      <c r="I10" s="171"/>
      <c r="J10" s="171"/>
      <c r="K10" s="204"/>
    </row>
    <row r="11" spans="1:11" x14ac:dyDescent="0.25">
      <c r="A11" s="204"/>
      <c r="B11" s="204"/>
      <c r="C11" s="204"/>
      <c r="D11" s="171"/>
      <c r="E11" s="171"/>
      <c r="F11" s="171"/>
      <c r="G11" s="171"/>
      <c r="H11" s="171"/>
      <c r="I11" s="171"/>
      <c r="J11" s="171"/>
      <c r="K11" s="204"/>
    </row>
    <row r="12" spans="1:11" x14ac:dyDescent="0.25">
      <c r="A12" s="204"/>
      <c r="B12" s="204"/>
      <c r="C12" s="204"/>
      <c r="D12" s="171"/>
      <c r="E12" s="171"/>
      <c r="F12" s="171"/>
      <c r="G12" s="171"/>
      <c r="H12" s="171"/>
      <c r="I12" s="171"/>
      <c r="J12" s="171"/>
      <c r="K12" s="204"/>
    </row>
    <row r="13" spans="1:11" x14ac:dyDescent="0.25">
      <c r="A13" s="204"/>
      <c r="B13" s="204"/>
      <c r="C13" s="204"/>
      <c r="D13" s="171"/>
      <c r="E13" s="171"/>
      <c r="F13" s="171"/>
      <c r="G13" s="171"/>
      <c r="H13" s="171"/>
      <c r="I13" s="171"/>
      <c r="J13" s="171"/>
      <c r="K13" s="204"/>
    </row>
    <row r="14" spans="1:11" x14ac:dyDescent="0.25">
      <c r="A14" s="204"/>
      <c r="B14" s="204"/>
      <c r="C14" s="204"/>
      <c r="D14" s="171"/>
      <c r="E14" s="171"/>
      <c r="F14" s="171"/>
      <c r="G14" s="171"/>
      <c r="H14" s="171"/>
      <c r="I14" s="171"/>
      <c r="J14" s="171"/>
      <c r="K14" s="204"/>
    </row>
    <row r="15" spans="1:11" x14ac:dyDescent="0.25">
      <c r="A15" s="204"/>
      <c r="B15" s="204"/>
      <c r="C15" s="204"/>
      <c r="D15" s="171"/>
      <c r="E15" s="171"/>
      <c r="F15" s="171"/>
      <c r="G15" s="171"/>
      <c r="H15" s="171"/>
      <c r="I15" s="171"/>
      <c r="J15" s="171"/>
      <c r="K15" s="204"/>
    </row>
    <row r="16" spans="1:11" x14ac:dyDescent="0.25">
      <c r="A16" s="204"/>
      <c r="B16" s="204"/>
      <c r="C16" s="204"/>
      <c r="D16" s="171"/>
      <c r="E16" s="171"/>
      <c r="F16" s="171"/>
      <c r="G16" s="171"/>
      <c r="H16" s="171"/>
      <c r="I16" s="171"/>
      <c r="J16" s="171"/>
      <c r="K16" s="204"/>
    </row>
    <row r="17" spans="1:14" x14ac:dyDescent="0.25">
      <c r="A17" s="204"/>
      <c r="B17" s="204"/>
      <c r="C17" s="204"/>
      <c r="D17" s="171"/>
      <c r="E17" s="171"/>
      <c r="F17" s="171"/>
      <c r="G17" s="171"/>
      <c r="H17" s="171"/>
      <c r="I17" s="171"/>
      <c r="J17" s="171"/>
      <c r="K17" s="204"/>
    </row>
    <row r="18" spans="1:14" x14ac:dyDescent="0.25">
      <c r="A18" s="204"/>
      <c r="B18" s="204"/>
      <c r="C18" s="204"/>
      <c r="D18" s="171"/>
      <c r="E18" s="171"/>
      <c r="F18" s="171"/>
      <c r="G18" s="171"/>
      <c r="H18" s="171"/>
      <c r="I18" s="171"/>
      <c r="J18" s="171"/>
      <c r="K18" s="204"/>
    </row>
    <row r="19" spans="1:14" x14ac:dyDescent="0.25">
      <c r="A19" s="204"/>
      <c r="B19" s="204"/>
      <c r="C19" s="204"/>
      <c r="D19" s="171"/>
      <c r="E19" s="171"/>
      <c r="F19" s="171"/>
      <c r="G19" s="171"/>
      <c r="H19" s="171"/>
      <c r="I19" s="171"/>
      <c r="J19" s="171"/>
      <c r="K19" s="204"/>
    </row>
    <row r="20" spans="1:14" x14ac:dyDescent="0.25">
      <c r="A20" s="204"/>
      <c r="B20" s="204"/>
      <c r="C20" s="204"/>
      <c r="D20" s="171"/>
      <c r="E20" s="171"/>
      <c r="F20" s="171"/>
      <c r="G20" s="171"/>
      <c r="H20" s="171"/>
      <c r="I20" s="171"/>
      <c r="J20" s="171"/>
      <c r="K20" s="204"/>
    </row>
    <row r="21" spans="1:14" x14ac:dyDescent="0.25">
      <c r="A21" s="204"/>
      <c r="B21" s="204"/>
      <c r="C21" s="204"/>
      <c r="D21" s="171"/>
      <c r="E21" s="171"/>
      <c r="F21" s="171"/>
      <c r="G21" s="171"/>
      <c r="H21" s="171"/>
      <c r="I21" s="171"/>
      <c r="J21" s="171"/>
      <c r="K21" s="204"/>
    </row>
    <row r="22" spans="1:14" x14ac:dyDescent="0.25">
      <c r="A22" s="204"/>
      <c r="B22" s="204"/>
      <c r="C22" s="204"/>
      <c r="D22" s="171"/>
      <c r="E22" s="171"/>
      <c r="F22" s="171"/>
      <c r="G22" s="171"/>
      <c r="H22" s="171"/>
      <c r="I22" s="171"/>
      <c r="J22" s="171"/>
      <c r="K22" s="204"/>
    </row>
    <row r="23" spans="1:14" x14ac:dyDescent="0.25">
      <c r="A23" s="204"/>
      <c r="B23" s="204"/>
      <c r="C23" s="204"/>
      <c r="D23" s="171"/>
      <c r="E23" s="171"/>
      <c r="F23" s="171"/>
      <c r="G23" s="171"/>
      <c r="H23" s="171"/>
      <c r="I23" s="171"/>
      <c r="J23" s="171"/>
      <c r="K23" s="204"/>
    </row>
    <row r="24" spans="1:14" x14ac:dyDescent="0.25">
      <c r="A24" s="204"/>
      <c r="B24" s="204"/>
      <c r="C24" s="204"/>
      <c r="D24" s="171"/>
      <c r="E24" s="171"/>
      <c r="F24" s="171"/>
      <c r="G24" s="171"/>
      <c r="H24" s="171"/>
      <c r="I24" s="171"/>
      <c r="J24" s="171"/>
      <c r="K24" s="204"/>
    </row>
    <row r="25" spans="1:14" x14ac:dyDescent="0.25">
      <c r="A25" s="204"/>
      <c r="B25" s="204"/>
      <c r="C25" s="204"/>
      <c r="D25" s="171"/>
      <c r="E25" s="171"/>
      <c r="F25" s="171"/>
      <c r="G25" s="171"/>
      <c r="H25" s="171"/>
      <c r="I25" s="171"/>
      <c r="J25" s="171"/>
      <c r="K25" s="204"/>
    </row>
    <row r="26" spans="1:14" x14ac:dyDescent="0.25">
      <c r="A26" s="204"/>
      <c r="B26" s="204"/>
      <c r="C26" s="204"/>
      <c r="D26" s="171"/>
      <c r="E26" s="171"/>
      <c r="F26" s="171"/>
      <c r="G26" s="171"/>
      <c r="H26" s="171"/>
      <c r="I26" s="171"/>
      <c r="J26" s="171"/>
      <c r="K26" s="204"/>
    </row>
    <row r="27" spans="1:14" x14ac:dyDescent="0.25">
      <c r="A27" s="204"/>
      <c r="B27" s="238"/>
      <c r="C27" s="204"/>
      <c r="D27" s="171"/>
      <c r="E27" s="171"/>
      <c r="F27" s="171"/>
      <c r="G27" s="171"/>
      <c r="H27" s="171"/>
      <c r="I27" s="171"/>
      <c r="J27" s="171"/>
      <c r="K27" s="204"/>
    </row>
    <row r="28" spans="1:14" x14ac:dyDescent="0.25">
      <c r="A28" s="204"/>
      <c r="B28" s="204"/>
      <c r="C28" s="204"/>
      <c r="D28" s="171"/>
      <c r="E28" s="171"/>
      <c r="F28" s="171"/>
      <c r="G28" s="171"/>
      <c r="H28" s="171"/>
      <c r="I28" s="171"/>
      <c r="J28" s="171"/>
      <c r="K28" s="204"/>
    </row>
    <row r="29" spans="1:14" ht="105" x14ac:dyDescent="0.25">
      <c r="A29" s="204"/>
      <c r="B29" s="241" t="s">
        <v>0</v>
      </c>
      <c r="C29" s="204"/>
      <c r="D29" s="171"/>
      <c r="E29" s="171"/>
      <c r="F29" s="171"/>
      <c r="G29" s="171"/>
      <c r="H29" s="171"/>
      <c r="I29" s="171"/>
      <c r="J29" s="171"/>
      <c r="K29" s="204"/>
    </row>
    <row r="30" spans="1:14" x14ac:dyDescent="0.25">
      <c r="A30" s="204"/>
      <c r="B30" s="204"/>
      <c r="C30" s="204"/>
      <c r="D30" s="171"/>
      <c r="E30" s="171"/>
      <c r="F30" s="171"/>
      <c r="G30" s="171"/>
      <c r="H30" s="171"/>
      <c r="I30" s="171"/>
      <c r="J30" s="171"/>
      <c r="K30" s="204"/>
    </row>
    <row r="31" spans="1:14" x14ac:dyDescent="0.25">
      <c r="A31" s="204"/>
      <c r="B31" s="242"/>
      <c r="C31" s="204"/>
      <c r="D31" s="171"/>
      <c r="E31" s="171"/>
      <c r="F31" s="171"/>
      <c r="G31" s="171"/>
      <c r="H31" s="171"/>
      <c r="I31" s="171"/>
      <c r="J31" s="171"/>
      <c r="K31" s="204"/>
    </row>
    <row r="32" spans="1:14" x14ac:dyDescent="0.25">
      <c r="A32" s="204"/>
      <c r="B32" s="204"/>
      <c r="C32" s="204"/>
      <c r="D32" s="171"/>
      <c r="E32" s="171"/>
      <c r="F32" s="171"/>
      <c r="G32" s="171"/>
      <c r="H32" s="171"/>
      <c r="I32" s="171"/>
      <c r="J32" s="171"/>
      <c r="K32" s="204"/>
      <c r="N32" s="168"/>
    </row>
    <row r="33" spans="1:11" x14ac:dyDescent="0.25">
      <c r="A33" s="204"/>
      <c r="B33" s="204"/>
      <c r="C33" s="204"/>
      <c r="D33" s="171"/>
      <c r="E33" s="171"/>
      <c r="F33" s="171"/>
      <c r="G33" s="171"/>
      <c r="H33" s="171"/>
      <c r="I33" s="171"/>
      <c r="J33" s="171"/>
      <c r="K33" s="204"/>
    </row>
    <row r="34" spans="1:11" x14ac:dyDescent="0.25">
      <c r="A34" s="204"/>
      <c r="B34" s="204"/>
      <c r="C34" s="204"/>
      <c r="D34" s="171"/>
      <c r="E34" s="171"/>
      <c r="F34" s="171"/>
      <c r="G34" s="171"/>
      <c r="H34" s="171"/>
      <c r="I34" s="171"/>
      <c r="J34" s="171"/>
      <c r="K34" s="204"/>
    </row>
    <row r="35" spans="1:11" x14ac:dyDescent="0.25">
      <c r="A35" s="204"/>
      <c r="B35" s="204"/>
      <c r="C35" s="204"/>
      <c r="D35" s="204"/>
      <c r="E35" s="204"/>
      <c r="F35" s="204"/>
      <c r="G35" s="204"/>
      <c r="H35" s="204"/>
      <c r="I35" s="204"/>
      <c r="J35" s="204"/>
      <c r="K35" s="204"/>
    </row>
    <row r="36" spans="1:11" x14ac:dyDescent="0.25">
      <c r="A36" s="204"/>
      <c r="B36" s="204"/>
      <c r="C36" s="204"/>
      <c r="D36" s="204"/>
      <c r="E36" s="204"/>
      <c r="F36" s="204"/>
      <c r="G36" s="204"/>
      <c r="H36" s="204"/>
      <c r="I36" s="204"/>
      <c r="J36" s="204"/>
      <c r="K36" s="204"/>
    </row>
  </sheetData>
  <mergeCells count="1">
    <mergeCell ref="B1:J1"/>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A5D64-1636-4E6A-AB7C-3B53059F2C0D}">
  <sheetPr>
    <tabColor rgb="FF005D8E"/>
  </sheetPr>
  <dimension ref="A1:W78"/>
  <sheetViews>
    <sheetView showGridLines="0" zoomScaleNormal="100" workbookViewId="0"/>
  </sheetViews>
  <sheetFormatPr baseColWidth="10" defaultColWidth="11.42578125" defaultRowHeight="15" x14ac:dyDescent="0.25"/>
  <cols>
    <col min="1" max="1" width="37.85546875" style="247" customWidth="1"/>
    <col min="2" max="2" width="19" style="247" customWidth="1"/>
    <col min="3" max="3" width="14.5703125" style="247" customWidth="1"/>
    <col min="4" max="4" width="15.5703125" style="247" customWidth="1"/>
    <col min="5" max="5" width="14.5703125" style="247" customWidth="1"/>
    <col min="6" max="16384" width="11.42578125" style="247"/>
  </cols>
  <sheetData>
    <row r="1" spans="1:15" ht="31.5" x14ac:dyDescent="0.5">
      <c r="A1" s="260" t="s">
        <v>1</v>
      </c>
    </row>
    <row r="2" spans="1:15" ht="6.75" customHeight="1" x14ac:dyDescent="0.25"/>
    <row r="3" spans="1:15" x14ac:dyDescent="0.25">
      <c r="A3" s="261" t="s">
        <v>2</v>
      </c>
    </row>
    <row r="4" spans="1:15" x14ac:dyDescent="0.25">
      <c r="G4" s="248"/>
    </row>
    <row r="5" spans="1:15" ht="21" x14ac:dyDescent="0.35">
      <c r="A5" s="262" t="s">
        <v>3</v>
      </c>
    </row>
    <row r="6" spans="1:15" ht="9.75" customHeight="1" x14ac:dyDescent="0.25"/>
    <row r="7" spans="1:15" x14ac:dyDescent="0.25">
      <c r="A7" s="321" t="s">
        <v>4</v>
      </c>
      <c r="B7" s="316" t="s">
        <v>5</v>
      </c>
      <c r="C7" s="317"/>
      <c r="D7" s="317" t="s">
        <v>6</v>
      </c>
      <c r="E7" s="318"/>
    </row>
    <row r="8" spans="1:15" x14ac:dyDescent="0.25">
      <c r="A8" s="322"/>
      <c r="B8" s="263" t="s">
        <v>7</v>
      </c>
      <c r="C8" s="264" t="s">
        <v>8</v>
      </c>
      <c r="D8" s="264" t="s">
        <v>7</v>
      </c>
      <c r="E8" s="265" t="s">
        <v>8</v>
      </c>
    </row>
    <row r="9" spans="1:15" x14ac:dyDescent="0.25">
      <c r="A9" s="249" t="s">
        <v>9</v>
      </c>
      <c r="B9" s="266">
        <v>0.39</v>
      </c>
      <c r="C9" s="266">
        <v>0.13</v>
      </c>
      <c r="D9" s="266">
        <v>0.36</v>
      </c>
      <c r="E9" s="266">
        <v>0.12</v>
      </c>
      <c r="O9" s="248"/>
    </row>
    <row r="10" spans="1:15" x14ac:dyDescent="0.25">
      <c r="A10" s="249" t="s">
        <v>10</v>
      </c>
      <c r="B10" s="267">
        <v>140</v>
      </c>
      <c r="C10" s="267">
        <v>140</v>
      </c>
      <c r="D10" s="267">
        <v>750</v>
      </c>
      <c r="E10" s="267">
        <v>750</v>
      </c>
      <c r="O10" s="248"/>
    </row>
    <row r="11" spans="1:15" x14ac:dyDescent="0.25">
      <c r="A11" s="249" t="s">
        <v>11</v>
      </c>
      <c r="B11" s="267">
        <v>145</v>
      </c>
      <c r="C11" s="267">
        <v>55</v>
      </c>
      <c r="D11" s="267">
        <v>95</v>
      </c>
      <c r="E11" s="267">
        <v>45</v>
      </c>
    </row>
    <row r="12" spans="1:15" x14ac:dyDescent="0.25">
      <c r="A12" s="259" t="s">
        <v>12</v>
      </c>
      <c r="B12" s="267">
        <v>2.5</v>
      </c>
      <c r="C12" s="267">
        <v>2.5</v>
      </c>
      <c r="D12" s="267">
        <v>2</v>
      </c>
      <c r="E12" s="267">
        <v>2</v>
      </c>
    </row>
    <row r="14" spans="1:15" x14ac:dyDescent="0.25">
      <c r="A14" s="319" t="s">
        <v>13</v>
      </c>
      <c r="B14" s="316" t="s">
        <v>5</v>
      </c>
      <c r="C14" s="317"/>
      <c r="D14" s="317" t="s">
        <v>6</v>
      </c>
      <c r="E14" s="318"/>
      <c r="O14" s="248"/>
    </row>
    <row r="15" spans="1:15" x14ac:dyDescent="0.25">
      <c r="A15" s="320"/>
      <c r="B15" s="263" t="s">
        <v>7</v>
      </c>
      <c r="C15" s="264" t="s">
        <v>8</v>
      </c>
      <c r="D15" s="264" t="s">
        <v>7</v>
      </c>
      <c r="E15" s="265" t="s">
        <v>8</v>
      </c>
      <c r="O15" s="248"/>
    </row>
    <row r="16" spans="1:15" x14ac:dyDescent="0.25">
      <c r="A16" s="249" t="s">
        <v>14</v>
      </c>
      <c r="B16" s="266">
        <v>0.30492249019042039</v>
      </c>
      <c r="C16" s="266">
        <v>0.30492249019042039</v>
      </c>
      <c r="D16" s="266">
        <v>0.30492249019042039</v>
      </c>
      <c r="E16" s="266">
        <v>0.30492249019042039</v>
      </c>
      <c r="O16" s="248"/>
    </row>
    <row r="17" spans="1:23" x14ac:dyDescent="0.25">
      <c r="A17" s="249" t="s">
        <v>15</v>
      </c>
      <c r="B17" s="266">
        <v>9.0977467467497006E-2</v>
      </c>
      <c r="C17" s="266">
        <v>9.0977467467497006E-2</v>
      </c>
      <c r="D17" s="266">
        <v>9.0977467467497006E-2</v>
      </c>
      <c r="E17" s="266">
        <v>9.0977467467497006E-2</v>
      </c>
      <c r="W17" s="268"/>
    </row>
    <row r="18" spans="1:23" x14ac:dyDescent="0.25">
      <c r="A18" s="249" t="s">
        <v>16</v>
      </c>
      <c r="B18" s="266">
        <v>9.0977467467497006E-2</v>
      </c>
      <c r="C18" s="266">
        <v>9.0977467467497006E-2</v>
      </c>
      <c r="D18" s="266">
        <v>9.0977467467497006E-2</v>
      </c>
      <c r="E18" s="266">
        <v>9.0977467467497006E-2</v>
      </c>
      <c r="G18" s="248"/>
    </row>
    <row r="19" spans="1:23" x14ac:dyDescent="0.25">
      <c r="A19" s="259" t="s">
        <v>17</v>
      </c>
      <c r="B19" s="266">
        <v>0</v>
      </c>
      <c r="C19" s="266">
        <v>0</v>
      </c>
      <c r="D19" s="266">
        <v>0</v>
      </c>
      <c r="E19" s="266">
        <v>0</v>
      </c>
      <c r="G19" s="248"/>
    </row>
    <row r="20" spans="1:23" x14ac:dyDescent="0.25">
      <c r="A20" s="249" t="s">
        <v>18</v>
      </c>
      <c r="B20" s="266">
        <v>0</v>
      </c>
      <c r="C20" s="266">
        <v>0</v>
      </c>
      <c r="D20" s="266">
        <v>0</v>
      </c>
      <c r="E20" s="266">
        <v>0</v>
      </c>
      <c r="G20" s="248"/>
    </row>
    <row r="21" spans="1:23" x14ac:dyDescent="0.25">
      <c r="A21" s="249" t="s">
        <v>19</v>
      </c>
      <c r="B21" s="266">
        <v>0.12923408428553401</v>
      </c>
      <c r="C21" s="266">
        <v>0.12923408428553401</v>
      </c>
      <c r="D21" s="266">
        <v>0.12923408428553401</v>
      </c>
      <c r="E21" s="266">
        <v>0.12923408428553401</v>
      </c>
    </row>
    <row r="22" spans="1:23" x14ac:dyDescent="0.25">
      <c r="A22" s="249" t="s">
        <v>20</v>
      </c>
      <c r="B22" s="266">
        <v>0.21773920053785401</v>
      </c>
      <c r="C22" s="266">
        <v>0.21773920053785401</v>
      </c>
      <c r="D22" s="266">
        <v>0.21773920053785401</v>
      </c>
      <c r="E22" s="266">
        <v>0.21773920053785401</v>
      </c>
    </row>
    <row r="23" spans="1:23" x14ac:dyDescent="0.25">
      <c r="A23" s="259" t="s">
        <v>21</v>
      </c>
      <c r="B23" s="266">
        <v>5.9762824841613799E-2</v>
      </c>
      <c r="C23" s="266">
        <v>5.9762824841613799E-2</v>
      </c>
      <c r="D23" s="266">
        <v>5.9762824841613799E-2</v>
      </c>
      <c r="E23" s="266">
        <v>5.9762824841613799E-2</v>
      </c>
    </row>
    <row r="24" spans="1:23" x14ac:dyDescent="0.25">
      <c r="A24" s="249" t="s">
        <v>22</v>
      </c>
      <c r="B24" s="266">
        <v>0.106386465209583</v>
      </c>
      <c r="C24" s="266">
        <v>0.106386465209583</v>
      </c>
      <c r="D24" s="266">
        <v>0.106386465209583</v>
      </c>
      <c r="E24" s="266">
        <v>0.106386465209583</v>
      </c>
    </row>
    <row r="25" spans="1:23" x14ac:dyDescent="0.25">
      <c r="A25" s="269" t="s">
        <v>23</v>
      </c>
      <c r="B25" s="270">
        <f>SUM(B16:B24)</f>
        <v>0.99999999999999911</v>
      </c>
      <c r="C25" s="270">
        <f t="shared" ref="C25:E25" si="0">SUM(C16:C24)</f>
        <v>0.99999999999999911</v>
      </c>
      <c r="D25" s="270">
        <f t="shared" si="0"/>
        <v>0.99999999999999911</v>
      </c>
      <c r="E25" s="270">
        <f t="shared" si="0"/>
        <v>0.99999999999999911</v>
      </c>
    </row>
    <row r="27" spans="1:23" ht="21" x14ac:dyDescent="0.35">
      <c r="A27" s="262" t="s">
        <v>24</v>
      </c>
    </row>
    <row r="28" spans="1:23" ht="7.5" customHeight="1" x14ac:dyDescent="0.25"/>
    <row r="29" spans="1:23" x14ac:dyDescent="0.25">
      <c r="A29" s="271" t="s">
        <v>25</v>
      </c>
      <c r="B29" s="257" t="s">
        <v>26</v>
      </c>
      <c r="D29" s="248"/>
    </row>
    <row r="31" spans="1:23" ht="18.75" x14ac:dyDescent="0.3">
      <c r="A31" s="254" t="s">
        <v>27</v>
      </c>
    </row>
    <row r="32" spans="1:23" ht="6" customHeight="1" x14ac:dyDescent="0.3">
      <c r="A32" s="254"/>
    </row>
    <row r="33" spans="1:19" x14ac:dyDescent="0.25">
      <c r="A33" s="249" t="s">
        <v>28</v>
      </c>
      <c r="B33" s="249" t="s">
        <v>29</v>
      </c>
      <c r="C33" s="249" t="s">
        <v>30</v>
      </c>
      <c r="D33" s="249" t="s">
        <v>31</v>
      </c>
      <c r="E33" s="249" t="s">
        <v>32</v>
      </c>
    </row>
    <row r="34" spans="1:19" x14ac:dyDescent="0.25">
      <c r="A34" s="249" t="s">
        <v>33</v>
      </c>
      <c r="B34" s="257"/>
      <c r="C34" s="244" t="str">
        <f>IF($B$29="- select country -","",INDEX(Dropdowns!$B$23:$F$30,MATCH('Data Input'!$A34,Dropdowns!$A$23:$A$30,0),MATCH('Data Input'!$B$29,Dropdowns!$B$22:$F$22,0)))</f>
        <v/>
      </c>
      <c r="D34" s="244" t="str">
        <f>IF(ISBLANK($B34),$C34,$B34)</f>
        <v/>
      </c>
      <c r="E34" s="170" t="s">
        <v>34</v>
      </c>
      <c r="N34" s="248"/>
      <c r="O34" s="248"/>
      <c r="P34" s="248"/>
      <c r="Q34" s="248"/>
      <c r="R34" s="248"/>
      <c r="S34" s="248"/>
    </row>
    <row r="35" spans="1:19" x14ac:dyDescent="0.25">
      <c r="A35" s="249" t="s">
        <v>15</v>
      </c>
      <c r="B35" s="258"/>
      <c r="C35" s="244" t="str">
        <f>IF($B$29="- select country -","",INDEX(Dropdowns!$B$23:$F$30,MATCH('Data Input'!$A35,Dropdowns!$A$23:$A$30,0),MATCH('Data Input'!$B$29,Dropdowns!$B$22:$F$22,0)))</f>
        <v/>
      </c>
      <c r="D35" s="244" t="str">
        <f t="shared" ref="D35:D41" si="1">IF(ISBLANK($B35),$C35,$B35)</f>
        <v/>
      </c>
      <c r="E35" s="170" t="s">
        <v>35</v>
      </c>
    </row>
    <row r="36" spans="1:19" x14ac:dyDescent="0.25">
      <c r="A36" s="249" t="s">
        <v>16</v>
      </c>
      <c r="B36" s="258"/>
      <c r="C36" s="244" t="str">
        <f>IF($B$29="- select country -","",INDEX(Dropdowns!$B$23:$F$30,MATCH('Data Input'!$A36,Dropdowns!$A$23:$A$30,0),MATCH('Data Input'!$B$29,Dropdowns!$B$22:$F$22,0)))</f>
        <v/>
      </c>
      <c r="D36" s="244" t="str">
        <f t="shared" si="1"/>
        <v/>
      </c>
      <c r="E36" s="170" t="s">
        <v>36</v>
      </c>
    </row>
    <row r="37" spans="1:19" x14ac:dyDescent="0.25">
      <c r="A37" s="259" t="s">
        <v>17</v>
      </c>
      <c r="B37" s="258"/>
      <c r="C37" s="244" t="str">
        <f>IF($B$29="- select country -","",INDEX(Dropdowns!$B$23:$F$30,MATCH('Data Input'!$A37,Dropdowns!$A$23:$A$30,0),MATCH('Data Input'!$B$29,Dropdowns!$B$22:$F$22,0)))</f>
        <v/>
      </c>
      <c r="D37" s="244" t="str">
        <f t="shared" si="1"/>
        <v/>
      </c>
      <c r="E37" s="170" t="s">
        <v>36</v>
      </c>
    </row>
    <row r="38" spans="1:19" x14ac:dyDescent="0.25">
      <c r="A38" s="249" t="s">
        <v>18</v>
      </c>
      <c r="B38" s="257"/>
      <c r="C38" s="244" t="str">
        <f>IF($B$29="- select country -","",INDEX(Dropdowns!$B$23:$F$30,MATCH('Data Input'!$A38,Dropdowns!$A$23:$A$30,0),MATCH('Data Input'!$B$29,Dropdowns!$B$22:$F$22,0)))</f>
        <v/>
      </c>
      <c r="D38" s="244" t="str">
        <f t="shared" si="1"/>
        <v/>
      </c>
      <c r="E38" s="170" t="s">
        <v>37</v>
      </c>
    </row>
    <row r="39" spans="1:19" x14ac:dyDescent="0.25">
      <c r="A39" s="249" t="s">
        <v>19</v>
      </c>
      <c r="B39" s="258"/>
      <c r="C39" s="244" t="str">
        <f>IF($B$29="- select country -","",INDEX(Dropdowns!$B$23:$F$30,MATCH('Data Input'!$A39,Dropdowns!$A$23:$A$30,0),MATCH('Data Input'!$B$29,Dropdowns!$B$22:$F$22,0)))</f>
        <v/>
      </c>
      <c r="D39" s="244" t="str">
        <f t="shared" si="1"/>
        <v/>
      </c>
      <c r="E39" s="170" t="s">
        <v>37</v>
      </c>
    </row>
    <row r="40" spans="1:19" x14ac:dyDescent="0.25">
      <c r="A40" s="249" t="s">
        <v>20</v>
      </c>
      <c r="B40" s="258"/>
      <c r="C40" s="244" t="str">
        <f>IF($B$29="- select country -","",INDEX(Dropdowns!$B$23:$F$30,MATCH('Data Input'!$A40,Dropdowns!$A$23:$A$30,0),MATCH('Data Input'!$B$29,Dropdowns!$B$22:$F$22,0)))</f>
        <v/>
      </c>
      <c r="D40" s="244" t="str">
        <f t="shared" si="1"/>
        <v/>
      </c>
      <c r="E40" s="170" t="s">
        <v>38</v>
      </c>
    </row>
    <row r="41" spans="1:19" x14ac:dyDescent="0.25">
      <c r="A41" s="259" t="s">
        <v>39</v>
      </c>
      <c r="B41" s="258"/>
      <c r="C41" s="244" t="str">
        <f>IF($B$29="- select country -","",INDEX(Dropdowns!$B$23:$F$30,MATCH('Data Input'!$A41,Dropdowns!$A$23:$A$30,0),MATCH('Data Input'!$B$29,Dropdowns!$B$22:$F$22,0)))</f>
        <v/>
      </c>
      <c r="D41" s="244" t="str">
        <f t="shared" si="1"/>
        <v/>
      </c>
      <c r="E41" s="170" t="s">
        <v>38</v>
      </c>
      <c r="F41" s="248"/>
    </row>
    <row r="43" spans="1:19" ht="18.75" x14ac:dyDescent="0.3">
      <c r="A43" s="254" t="s">
        <v>40</v>
      </c>
      <c r="B43" s="255"/>
      <c r="C43" s="256"/>
      <c r="D43" s="255"/>
      <c r="E43" s="255"/>
      <c r="F43" s="255"/>
    </row>
    <row r="45" spans="1:19" ht="15.75" x14ac:dyDescent="0.25">
      <c r="A45" s="250" t="s">
        <v>41</v>
      </c>
    </row>
    <row r="46" spans="1:19" x14ac:dyDescent="0.25">
      <c r="A46" s="249" t="s">
        <v>42</v>
      </c>
      <c r="B46" s="251" t="s">
        <v>43</v>
      </c>
      <c r="C46" s="256"/>
    </row>
    <row r="47" spans="1:19" x14ac:dyDescent="0.25">
      <c r="A47" s="249" t="s">
        <v>44</v>
      </c>
      <c r="B47" s="193" t="str">
        <f>IF($B$29="- select country -","",INDEX('Model homes'!$E$242:$E$252,MATCH($A47,'Model homes'!$C$242:$C$252,0)))</f>
        <v/>
      </c>
      <c r="C47" s="253"/>
    </row>
    <row r="48" spans="1:19" x14ac:dyDescent="0.25">
      <c r="A48" s="249" t="s">
        <v>45</v>
      </c>
      <c r="B48" s="193" t="str">
        <f>IF($B$29="- select country -","",INDEX('Model homes'!$E$242:$E$252,MATCH($A48,'Model homes'!$C$242:$C$252,0)))</f>
        <v/>
      </c>
      <c r="C48" s="253"/>
    </row>
    <row r="49" spans="1:6" x14ac:dyDescent="0.25">
      <c r="A49" s="249" t="s">
        <v>46</v>
      </c>
      <c r="B49" s="193" t="str">
        <f>IF($B$29="- select country -","",INDEX('Model homes'!$E$242:$E$252,MATCH($A49,'Model homes'!$C$242:$C$252,0)))</f>
        <v/>
      </c>
      <c r="C49" s="253"/>
    </row>
    <row r="50" spans="1:6" x14ac:dyDescent="0.25">
      <c r="A50" s="249" t="s">
        <v>47</v>
      </c>
      <c r="B50" s="193" t="str">
        <f>IF($B$29="- select country -","",INDEX('Model homes'!$E$242:$E$252,MATCH($A50,'Model homes'!$C$242:$C$252,0)))</f>
        <v/>
      </c>
      <c r="C50" s="253"/>
    </row>
    <row r="51" spans="1:6" x14ac:dyDescent="0.25">
      <c r="A51" s="249" t="s">
        <v>48</v>
      </c>
      <c r="B51" s="193" t="str">
        <f>IF($B$29="- select country -","",INDEX('Model homes'!$E$242:$E$252,MATCH($A51,'Model homes'!$C$242:$C$252,0)))</f>
        <v/>
      </c>
      <c r="C51" s="253"/>
    </row>
    <row r="52" spans="1:6" x14ac:dyDescent="0.25">
      <c r="A52" s="249" t="s">
        <v>20</v>
      </c>
      <c r="B52" s="193" t="str">
        <f>IF($B$29="- select country -","",INDEX('Model homes'!$E$242:$E$252,MATCH($A52,'Model homes'!$C$242:$C$252,0)))</f>
        <v/>
      </c>
      <c r="C52" s="253"/>
    </row>
    <row r="53" spans="1:6" x14ac:dyDescent="0.25">
      <c r="A53" s="249" t="s">
        <v>49</v>
      </c>
      <c r="B53" s="193" t="str">
        <f>IF($B$29="- select country -","",INDEX('Model homes'!$E$242:$E$252,MATCH($A53,'Model homes'!$C$242:$C$252,0)))</f>
        <v/>
      </c>
      <c r="C53" s="253"/>
    </row>
    <row r="54" spans="1:6" x14ac:dyDescent="0.25">
      <c r="A54" s="249" t="s">
        <v>50</v>
      </c>
      <c r="B54" s="193" t="str">
        <f>IF($B$29="- select country -","",INDEX('Model homes'!$E$242:$E$252,MATCH($A54,'Model homes'!$C$242:$C$252,0)))</f>
        <v/>
      </c>
      <c r="C54" s="253"/>
    </row>
    <row r="55" spans="1:6" x14ac:dyDescent="0.25">
      <c r="A55" s="249" t="s">
        <v>51</v>
      </c>
      <c r="B55" s="193" t="str">
        <f>IF($B$29="- select country -","",INDEX('Model homes'!$E$242:$E$252,MATCH($A55,'Model homes'!$C$242:$C$252,0)))</f>
        <v/>
      </c>
      <c r="C55" s="253"/>
    </row>
    <row r="56" spans="1:6" x14ac:dyDescent="0.25">
      <c r="A56" s="249" t="s">
        <v>52</v>
      </c>
      <c r="B56" s="193" t="str">
        <f>IF($B$29="- select country -","",INDEX('Model homes'!$E$242:$E$252,MATCH($A56,'Model homes'!$C$242:$C$252,0)))</f>
        <v/>
      </c>
      <c r="C56" s="253"/>
    </row>
    <row r="57" spans="1:6" x14ac:dyDescent="0.25">
      <c r="A57" s="249" t="s">
        <v>53</v>
      </c>
      <c r="B57" s="193" t="str">
        <f>IF($B$29="- select country -","",INDEX('Model homes'!$E$242:$E$252,MATCH($A57,'Model homes'!$C$242:$C$252,0)))</f>
        <v/>
      </c>
      <c r="C57" s="253"/>
    </row>
    <row r="58" spans="1:6" x14ac:dyDescent="0.25">
      <c r="A58" s="249" t="s">
        <v>54</v>
      </c>
      <c r="B58" s="194">
        <f>SUM(B47:B57)</f>
        <v>0</v>
      </c>
      <c r="C58" s="253"/>
    </row>
    <row r="60" spans="1:6" ht="15.75" x14ac:dyDescent="0.25">
      <c r="A60" s="250" t="s">
        <v>55</v>
      </c>
      <c r="F60" s="248"/>
    </row>
    <row r="62" spans="1:6" x14ac:dyDescent="0.25">
      <c r="A62" s="249" t="s">
        <v>56</v>
      </c>
      <c r="B62" s="251" t="s">
        <v>57</v>
      </c>
      <c r="C62" s="251" t="s">
        <v>43</v>
      </c>
      <c r="D62" s="251" t="s">
        <v>58</v>
      </c>
    </row>
    <row r="63" spans="1:6" x14ac:dyDescent="0.25">
      <c r="A63" s="249" t="s">
        <v>59</v>
      </c>
      <c r="B63" s="193" t="str">
        <f>IF(ISBLANK(D63),C63,D63)</f>
        <v/>
      </c>
      <c r="C63" s="193" t="str">
        <f>IF($B$29="- select country -","",INDEX(Dropdowns!$C$15:$C$19,MATCH($B$29,Dropdowns!$A$15:$A$19,0)))</f>
        <v/>
      </c>
      <c r="D63" s="252"/>
      <c r="F63" s="248"/>
    </row>
    <row r="64" spans="1:6" ht="15.75" x14ac:dyDescent="0.25">
      <c r="A64" s="250"/>
      <c r="F64" s="248"/>
    </row>
    <row r="65" spans="1:2" x14ac:dyDescent="0.25">
      <c r="A65" s="249" t="s">
        <v>42</v>
      </c>
      <c r="B65" s="251" t="s">
        <v>43</v>
      </c>
    </row>
    <row r="66" spans="1:2" x14ac:dyDescent="0.25">
      <c r="A66" s="249" t="s">
        <v>44</v>
      </c>
      <c r="B66" s="193" t="str">
        <f>IF($B$29="- select country -","",INDEX('Model homes'!$G$257:$G$267,MATCH($A66,'Model homes'!$C$257:$C$267,0))/'Model homes'!$G$268*100)</f>
        <v/>
      </c>
    </row>
    <row r="67" spans="1:2" x14ac:dyDescent="0.25">
      <c r="A67" s="249" t="s">
        <v>46</v>
      </c>
      <c r="B67" s="193" t="str">
        <f>IF($B$29="- select country -","",INDEX('Model homes'!$G$257:$G$267,MATCH($A67,'Model homes'!$C$257:$C$267,0))/'Model homes'!$G$268*100)</f>
        <v/>
      </c>
    </row>
    <row r="68" spans="1:2" x14ac:dyDescent="0.25">
      <c r="A68" s="249" t="s">
        <v>47</v>
      </c>
      <c r="B68" s="193" t="str">
        <f>IF($B$29="- select country -","",INDEX('Model homes'!$G$257:$G$267,MATCH($A68,'Model homes'!$C$257:$C$267,0))/'Model homes'!$G$268*100)</f>
        <v/>
      </c>
    </row>
    <row r="69" spans="1:2" x14ac:dyDescent="0.25">
      <c r="A69" s="249" t="s">
        <v>48</v>
      </c>
      <c r="B69" s="193" t="str">
        <f>IF($B$29="- select country -","",INDEX('Model homes'!$G$257:$G$267,MATCH($A69,'Model homes'!$C$257:$C$267,0))/'Model homes'!$G$268*100)</f>
        <v/>
      </c>
    </row>
    <row r="70" spans="1:2" x14ac:dyDescent="0.25">
      <c r="A70" s="249" t="s">
        <v>20</v>
      </c>
      <c r="B70" s="193" t="str">
        <f>IF($B$29="- select country -","",INDEX('Model homes'!$G$257:$G$267,MATCH($A70,'Model homes'!$C$257:$C$267,0))/'Model homes'!$G$268*100)</f>
        <v/>
      </c>
    </row>
    <row r="71" spans="1:2" x14ac:dyDescent="0.25">
      <c r="A71" s="249" t="s">
        <v>49</v>
      </c>
      <c r="B71" s="193" t="str">
        <f>IF($B$29="- select country -","",INDEX('Model homes'!$G$257:$G$267,MATCH($A71,'Model homes'!$C$257:$C$267,0))/'Model homes'!$G$268*100)</f>
        <v/>
      </c>
    </row>
    <row r="72" spans="1:2" x14ac:dyDescent="0.25">
      <c r="A72" s="249" t="s">
        <v>50</v>
      </c>
      <c r="B72" s="193" t="str">
        <f>IF($B$29="- select country -","",INDEX('Model homes'!$G$257:$G$267,MATCH($A72,'Model homes'!$C$257:$C$267,0))/'Model homes'!$G$268*100)</f>
        <v/>
      </c>
    </row>
    <row r="73" spans="1:2" x14ac:dyDescent="0.25">
      <c r="A73" s="249" t="s">
        <v>39</v>
      </c>
      <c r="B73" s="193" t="str">
        <f>IF($B$29="- select country -","",INDEX('Model homes'!$G$257:$G$267,MATCH($A73,'Model homes'!$C$257:$C$267,0))/'Model homes'!$G$268*100)</f>
        <v/>
      </c>
    </row>
    <row r="74" spans="1:2" x14ac:dyDescent="0.25">
      <c r="A74" s="249" t="s">
        <v>60</v>
      </c>
      <c r="B74" s="193" t="str">
        <f>IF($B$29="- select country -","",INDEX('Model homes'!$G$257:$G$267,MATCH($A74,'Model homes'!$C$257:$C$267,0))/'Model homes'!$G$268*100)</f>
        <v/>
      </c>
    </row>
    <row r="75" spans="1:2" x14ac:dyDescent="0.25">
      <c r="A75" s="249" t="s">
        <v>61</v>
      </c>
      <c r="B75" s="193" t="str">
        <f>IF($B$29="- select country -","",INDEX('Model homes'!$G$257:$G$267,MATCH($A75,'Model homes'!$C$257:$C$267,0))/'Model homes'!$G$268*100)</f>
        <v/>
      </c>
    </row>
    <row r="76" spans="1:2" x14ac:dyDescent="0.25">
      <c r="A76" s="249" t="s">
        <v>62</v>
      </c>
      <c r="B76" s="193" t="str">
        <f>IF($B$29="- select country -","",INDEX('Model homes'!$G$257:$G$267,MATCH($A76,'Model homes'!$C$257:$C$267,0))/'Model homes'!$G$268*100)</f>
        <v/>
      </c>
    </row>
    <row r="77" spans="1:2" x14ac:dyDescent="0.25">
      <c r="A77" s="249" t="s">
        <v>54</v>
      </c>
      <c r="B77" s="194">
        <f>SUM(B66:B76)</f>
        <v>0</v>
      </c>
    </row>
    <row r="78" spans="1:2" x14ac:dyDescent="0.25">
      <c r="B78" s="248"/>
    </row>
  </sheetData>
  <sheetProtection algorithmName="SHA-512" hashValue="/Ymu0jS/gUyWPzcDh6w3b9a4gSl42FZ27/UPPnlrl1YmfoNUdRdvl44SvXErEb9Tl/u6TrmhiJkR6KS3xzfH+Q==" saltValue="2MqLuIVXOgDyNoJLmOq6+Q==" spinCount="100000" sheet="1" objects="1" scenarios="1"/>
  <mergeCells count="6">
    <mergeCell ref="B14:C14"/>
    <mergeCell ref="D14:E14"/>
    <mergeCell ref="A14:A15"/>
    <mergeCell ref="B7:C7"/>
    <mergeCell ref="D7:E7"/>
    <mergeCell ref="A7:A8"/>
  </mergeCells>
  <conditionalFormatting sqref="B58 B77">
    <cfRule type="cellIs" dxfId="3" priority="1" operator="notEqual">
      <formula>100</formula>
    </cfRule>
  </conditionalFormatting>
  <pageMargins left="0.7" right="0.7" top="0.78740157499999996" bottom="0.78740157499999996"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4A331B4-C1D8-4F2D-B347-A6CD112E5963}">
          <x14:formula1>
            <xm:f>Dropdowns!$A$14:$A$19</xm:f>
          </x14:formula1>
          <xm:sqref>B29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F3A5C-4F7B-45F8-89AA-B47D3ACB794A}">
  <sheetPr>
    <tabColor rgb="FF005D8E"/>
  </sheetPr>
  <dimension ref="A1:V55"/>
  <sheetViews>
    <sheetView showGridLines="0" zoomScale="85" zoomScaleNormal="85" workbookViewId="0">
      <selection activeCell="C1" sqref="C1:R1"/>
    </sheetView>
  </sheetViews>
  <sheetFormatPr baseColWidth="10" defaultColWidth="11.42578125" defaultRowHeight="15" outlineLevelRow="1" x14ac:dyDescent="0.25"/>
  <cols>
    <col min="1" max="1" width="2.7109375" customWidth="1"/>
    <col min="2" max="2" width="7" style="302" hidden="1" customWidth="1"/>
    <col min="3" max="3" width="10" customWidth="1"/>
    <col min="4" max="4" width="66" customWidth="1"/>
    <col min="5" max="6" width="3" customWidth="1"/>
    <col min="7" max="7" width="23" customWidth="1"/>
    <col min="8" max="8" width="3" customWidth="1"/>
    <col min="9" max="9" width="19" customWidth="1"/>
    <col min="10" max="11" width="20" customWidth="1"/>
    <col min="12" max="13" width="19" customWidth="1"/>
    <col min="14" max="14" width="23" customWidth="1"/>
    <col min="15" max="15" width="26" customWidth="1"/>
    <col min="16" max="16" width="19" customWidth="1"/>
    <col min="17" max="17" width="18" customWidth="1"/>
    <col min="18" max="18" width="22" customWidth="1"/>
    <col min="19" max="19" width="3" customWidth="1"/>
  </cols>
  <sheetData>
    <row r="1" spans="2:22" ht="33.950000000000003" customHeight="1" x14ac:dyDescent="0.5">
      <c r="C1" s="326" t="s">
        <v>63</v>
      </c>
      <c r="D1" s="326"/>
      <c r="E1" s="326"/>
      <c r="F1" s="326"/>
      <c r="G1" s="326"/>
      <c r="H1" s="326"/>
      <c r="I1" s="326"/>
      <c r="J1" s="326"/>
      <c r="K1" s="326"/>
      <c r="L1" s="326"/>
      <c r="M1" s="326"/>
      <c r="N1" s="326"/>
      <c r="O1" s="326"/>
      <c r="P1" s="326"/>
      <c r="Q1" s="326"/>
      <c r="R1" s="326"/>
    </row>
    <row r="2" spans="2:22" ht="7.5" customHeight="1" x14ac:dyDescent="0.25">
      <c r="R2" s="2"/>
    </row>
    <row r="3" spans="2:22" ht="150" customHeight="1" x14ac:dyDescent="0.25">
      <c r="C3" s="330" t="s">
        <v>904</v>
      </c>
      <c r="D3" s="331"/>
      <c r="E3" s="331"/>
      <c r="F3" s="331"/>
      <c r="G3" s="331"/>
      <c r="H3" s="331"/>
      <c r="I3" s="331"/>
      <c r="J3" s="331"/>
      <c r="K3" s="331"/>
      <c r="L3" s="331"/>
      <c r="M3" s="331"/>
      <c r="N3" s="331"/>
      <c r="O3" s="331"/>
      <c r="P3" s="331"/>
      <c r="Q3" s="331"/>
      <c r="R3" s="331"/>
    </row>
    <row r="4" spans="2:22" ht="9.75" customHeight="1" x14ac:dyDescent="0.25">
      <c r="C4" s="313"/>
      <c r="D4" s="312"/>
      <c r="E4" s="312"/>
      <c r="F4" s="312"/>
      <c r="G4" s="312"/>
      <c r="H4" s="312"/>
      <c r="I4" s="312"/>
      <c r="J4" s="312"/>
      <c r="K4" s="312"/>
      <c r="L4" s="312"/>
      <c r="M4" s="312"/>
      <c r="N4" s="312"/>
      <c r="O4" s="312"/>
      <c r="P4" s="312"/>
      <c r="Q4" s="312"/>
      <c r="R4" s="312"/>
    </row>
    <row r="5" spans="2:22" ht="28.5" customHeight="1" x14ac:dyDescent="0.25">
      <c r="B5" s="314"/>
      <c r="C5" s="324" t="s">
        <v>906</v>
      </c>
      <c r="D5" s="324"/>
      <c r="E5" s="324"/>
      <c r="F5" s="324"/>
      <c r="G5" s="324"/>
      <c r="H5" s="324"/>
      <c r="I5" s="324"/>
      <c r="J5" s="324"/>
      <c r="K5" s="324"/>
      <c r="L5" s="324"/>
      <c r="M5" s="324"/>
      <c r="N5" s="324"/>
      <c r="O5" s="324"/>
      <c r="P5" s="324"/>
      <c r="Q5" s="324"/>
      <c r="R5" s="324"/>
    </row>
    <row r="6" spans="2:22" ht="9.9499999999999993" customHeight="1" x14ac:dyDescent="0.25">
      <c r="R6" s="2"/>
    </row>
    <row r="7" spans="2:22" ht="27.95" customHeight="1" x14ac:dyDescent="0.3">
      <c r="C7" s="323" t="s">
        <v>64</v>
      </c>
      <c r="D7" s="323"/>
      <c r="E7" s="323"/>
      <c r="F7" s="323"/>
      <c r="G7" s="323"/>
      <c r="H7" s="323"/>
      <c r="I7" s="323"/>
      <c r="J7" s="323"/>
      <c r="K7" s="323"/>
      <c r="L7" s="323"/>
      <c r="M7" s="323"/>
      <c r="N7" s="323"/>
      <c r="O7" s="323"/>
      <c r="P7" s="323"/>
      <c r="Q7" s="323"/>
      <c r="R7" s="323"/>
    </row>
    <row r="8" spans="2:22" ht="9" customHeight="1" x14ac:dyDescent="0.25">
      <c r="C8" s="272"/>
      <c r="D8" s="272"/>
      <c r="E8" s="272"/>
      <c r="F8" s="272"/>
      <c r="G8" s="272"/>
      <c r="H8" s="272"/>
      <c r="I8" s="272"/>
      <c r="J8" s="272"/>
      <c r="K8" s="272"/>
      <c r="L8" s="272"/>
      <c r="M8" s="272"/>
      <c r="N8" s="272"/>
      <c r="O8" s="272"/>
      <c r="P8" s="272"/>
      <c r="Q8" s="272"/>
      <c r="R8" s="273"/>
    </row>
    <row r="9" spans="2:22" ht="33.950000000000003" customHeight="1" x14ac:dyDescent="0.25">
      <c r="C9" s="327" t="s">
        <v>65</v>
      </c>
      <c r="D9" s="327"/>
      <c r="E9" s="327"/>
      <c r="F9" s="327"/>
      <c r="G9" s="327"/>
      <c r="H9" s="327"/>
      <c r="I9" s="327"/>
      <c r="J9" s="327"/>
      <c r="K9" s="327"/>
      <c r="L9" s="327"/>
      <c r="M9" s="327"/>
      <c r="N9" s="327"/>
      <c r="O9" s="327"/>
      <c r="P9" s="327"/>
      <c r="Q9" s="327"/>
      <c r="R9" s="327"/>
    </row>
    <row r="10" spans="2:22" ht="8.1" customHeight="1" x14ac:dyDescent="0.25">
      <c r="C10" s="274"/>
      <c r="D10" s="272"/>
      <c r="E10" s="272"/>
      <c r="F10" s="272"/>
      <c r="G10" s="272"/>
      <c r="H10" s="272"/>
      <c r="I10" s="272"/>
      <c r="J10" s="272"/>
      <c r="K10" s="272"/>
      <c r="L10" s="272"/>
      <c r="M10" s="272"/>
      <c r="N10" s="272"/>
      <c r="O10" s="272"/>
      <c r="P10" s="272"/>
      <c r="Q10" s="272"/>
      <c r="R10" s="273"/>
    </row>
    <row r="11" spans="2:22" ht="30" customHeight="1" x14ac:dyDescent="0.25">
      <c r="C11" s="328" t="s">
        <v>66</v>
      </c>
      <c r="D11" s="329"/>
      <c r="E11" s="329"/>
      <c r="F11" s="329"/>
      <c r="G11" s="289" t="s">
        <v>67</v>
      </c>
      <c r="H11" s="273"/>
      <c r="I11" s="288" t="s">
        <v>68</v>
      </c>
      <c r="J11" s="289"/>
      <c r="K11" s="288" t="s">
        <v>69</v>
      </c>
      <c r="L11" s="272"/>
      <c r="M11" s="272"/>
      <c r="N11" s="272"/>
      <c r="O11" s="272"/>
      <c r="P11" s="272"/>
      <c r="Q11" s="272"/>
      <c r="R11" s="273"/>
    </row>
    <row r="12" spans="2:22" ht="30" customHeight="1" x14ac:dyDescent="0.25">
      <c r="C12" s="328" t="s">
        <v>70</v>
      </c>
      <c r="D12" s="329"/>
      <c r="E12" s="329"/>
      <c r="F12" s="329"/>
      <c r="G12" s="289"/>
      <c r="H12" s="273"/>
      <c r="I12" s="288" t="s">
        <v>71</v>
      </c>
      <c r="J12" s="290" t="str">
        <f>IF('Data Input'!B29="- select country -","Please select in data input sheet",'Data Input'!B29)</f>
        <v>Please select in data input sheet</v>
      </c>
      <c r="K12" s="272"/>
      <c r="M12" s="272"/>
      <c r="N12" s="272"/>
      <c r="O12" s="272"/>
      <c r="P12" s="272"/>
      <c r="Q12" s="272"/>
      <c r="R12" s="273"/>
    </row>
    <row r="13" spans="2:22" ht="9.9499999999999993" customHeight="1" x14ac:dyDescent="0.25">
      <c r="C13" s="272"/>
      <c r="D13" s="272"/>
      <c r="E13" s="272"/>
      <c r="F13" s="272"/>
      <c r="G13" s="272"/>
      <c r="H13" s="272"/>
      <c r="I13" s="272"/>
      <c r="J13" s="272"/>
      <c r="K13" s="272"/>
      <c r="L13" s="272"/>
      <c r="M13" s="272"/>
      <c r="N13" s="272"/>
      <c r="O13" s="272"/>
      <c r="P13" s="272"/>
      <c r="Q13" s="272"/>
      <c r="R13" s="273"/>
    </row>
    <row r="14" spans="2:22" ht="33.950000000000003" customHeight="1" x14ac:dyDescent="0.25">
      <c r="C14" s="327" t="s">
        <v>72</v>
      </c>
      <c r="D14" s="327"/>
      <c r="E14" s="327"/>
      <c r="F14" s="327"/>
      <c r="G14" s="327"/>
      <c r="H14" s="327"/>
      <c r="I14" s="327"/>
      <c r="J14" s="327"/>
      <c r="K14" s="327"/>
      <c r="L14" s="327"/>
      <c r="M14" s="327"/>
      <c r="N14" s="327"/>
      <c r="O14" s="327"/>
      <c r="P14" s="327"/>
      <c r="Q14" s="327"/>
      <c r="R14" s="327"/>
    </row>
    <row r="15" spans="2:22" ht="9.9499999999999993" customHeight="1" x14ac:dyDescent="0.25">
      <c r="C15" s="272"/>
      <c r="D15" s="272"/>
      <c r="E15" s="272"/>
      <c r="F15" s="272"/>
      <c r="G15" s="272"/>
      <c r="H15" s="272"/>
      <c r="I15" s="272"/>
      <c r="J15" s="272"/>
      <c r="K15" s="272"/>
      <c r="L15" s="272"/>
      <c r="M15" s="272"/>
      <c r="N15" s="272"/>
      <c r="O15" s="272"/>
      <c r="P15" s="272"/>
      <c r="Q15" s="272"/>
      <c r="R15" s="273"/>
    </row>
    <row r="16" spans="2:22" ht="75.95" customHeight="1" x14ac:dyDescent="0.25">
      <c r="C16" s="334" t="s">
        <v>73</v>
      </c>
      <c r="D16" s="334"/>
      <c r="E16" s="334"/>
      <c r="F16" s="334"/>
      <c r="G16" s="334"/>
      <c r="H16" s="334"/>
      <c r="I16" s="291" t="s">
        <v>74</v>
      </c>
      <c r="J16" s="291" t="s">
        <v>905</v>
      </c>
      <c r="K16" s="291" t="s">
        <v>75</v>
      </c>
      <c r="L16" s="291" t="s">
        <v>76</v>
      </c>
      <c r="M16" s="291" t="s">
        <v>77</v>
      </c>
      <c r="N16" s="291" t="s">
        <v>78</v>
      </c>
      <c r="O16" s="291" t="s">
        <v>79</v>
      </c>
      <c r="P16" s="291" t="s">
        <v>80</v>
      </c>
      <c r="Q16" s="291" t="s">
        <v>81</v>
      </c>
      <c r="R16" s="291" t="s">
        <v>82</v>
      </c>
      <c r="S16" s="277"/>
      <c r="T16" s="278"/>
      <c r="U16" s="279"/>
      <c r="V16" s="280"/>
    </row>
    <row r="17" spans="1:20" ht="36" customHeight="1" x14ac:dyDescent="0.25">
      <c r="C17" s="292"/>
      <c r="D17" s="292" t="s">
        <v>83</v>
      </c>
      <c r="E17" s="292"/>
      <c r="F17" s="292"/>
      <c r="G17" s="292"/>
      <c r="H17" s="292"/>
      <c r="I17" s="294" t="str">
        <f>IF($J$12&lt;&gt;"Please select in data input sheet",IF(ISBLANK(G12),"",IF(K17&gt;J17,"YES","NO")),"")</f>
        <v/>
      </c>
      <c r="J17" s="293" t="str">
        <f>IF($J$12&lt;&gt;"Please select in data input sheet",J11+L17,"")</f>
        <v/>
      </c>
      <c r="K17" s="293" t="str">
        <f>IF($J$12&lt;&gt;"Please select in data input sheet",M17+N17+O17,"")</f>
        <v/>
      </c>
      <c r="L17" s="293" t="str">
        <f t="shared" ref="L17:R17" si="0">IF($J$12&lt;&gt;"Please select in data input sheet",SUM(L21:L24,L27:L32,L35:L50),"")</f>
        <v/>
      </c>
      <c r="M17" s="293" t="str">
        <f t="shared" si="0"/>
        <v/>
      </c>
      <c r="N17" s="293" t="str">
        <f t="shared" si="0"/>
        <v/>
      </c>
      <c r="O17" s="293" t="str">
        <f t="shared" si="0"/>
        <v/>
      </c>
      <c r="P17" s="293" t="str">
        <f t="shared" si="0"/>
        <v/>
      </c>
      <c r="Q17" s="311" t="str">
        <f t="shared" si="0"/>
        <v/>
      </c>
      <c r="R17" s="311" t="str">
        <f t="shared" si="0"/>
        <v/>
      </c>
    </row>
    <row r="18" spans="1:20" ht="36" customHeight="1" x14ac:dyDescent="0.25">
      <c r="C18" s="305"/>
      <c r="D18" s="305"/>
      <c r="E18" s="305"/>
      <c r="F18" s="305"/>
      <c r="G18" s="305"/>
      <c r="H18" s="305"/>
      <c r="I18" s="306"/>
      <c r="J18" s="307"/>
      <c r="K18" s="307"/>
      <c r="L18" s="307"/>
      <c r="M18" s="307"/>
      <c r="N18" s="307"/>
      <c r="O18" s="307"/>
      <c r="P18" s="307"/>
      <c r="Q18" s="307"/>
      <c r="R18" s="307"/>
    </row>
    <row r="19" spans="1:20" ht="78" customHeight="1" x14ac:dyDescent="0.25">
      <c r="C19" s="323" t="s">
        <v>84</v>
      </c>
      <c r="D19" s="323"/>
      <c r="E19" s="323"/>
      <c r="F19" s="323"/>
      <c r="G19" s="323"/>
      <c r="H19" s="323"/>
      <c r="I19" s="308" t="s">
        <v>85</v>
      </c>
      <c r="J19" s="308" t="s">
        <v>86</v>
      </c>
      <c r="K19" s="308" t="s">
        <v>87</v>
      </c>
      <c r="L19" s="308" t="s">
        <v>76</v>
      </c>
      <c r="M19" s="308" t="s">
        <v>77</v>
      </c>
      <c r="N19" s="308" t="s">
        <v>78</v>
      </c>
      <c r="O19" s="308" t="s">
        <v>79</v>
      </c>
      <c r="P19" s="308" t="s">
        <v>80</v>
      </c>
      <c r="Q19" s="308" t="s">
        <v>81</v>
      </c>
      <c r="R19" s="308" t="s">
        <v>82</v>
      </c>
    </row>
    <row r="20" spans="1:20" ht="29.1" customHeight="1" x14ac:dyDescent="0.25">
      <c r="B20" s="303" t="s">
        <v>898</v>
      </c>
      <c r="C20" s="295" t="s">
        <v>899</v>
      </c>
      <c r="D20" s="295" t="s">
        <v>903</v>
      </c>
      <c r="E20" s="204"/>
      <c r="F20" s="204"/>
      <c r="G20" s="204"/>
      <c r="H20" s="204"/>
      <c r="I20" s="332" t="s">
        <v>88</v>
      </c>
      <c r="J20" s="332"/>
      <c r="K20" s="332"/>
      <c r="L20" s="333" t="s">
        <v>89</v>
      </c>
      <c r="M20" s="333"/>
      <c r="N20" s="333"/>
      <c r="O20" s="333"/>
      <c r="P20" s="333"/>
      <c r="Q20" s="333"/>
      <c r="R20" s="333"/>
      <c r="T20" s="248"/>
    </row>
    <row r="21" spans="1:20" ht="32.1" customHeight="1" outlineLevel="1" x14ac:dyDescent="0.25">
      <c r="B21" s="304" t="s">
        <v>90</v>
      </c>
      <c r="C21" s="289"/>
      <c r="D21" s="296" t="s">
        <v>91</v>
      </c>
      <c r="E21" s="298"/>
      <c r="F21" s="298"/>
      <c r="G21" s="298"/>
      <c r="H21" s="298"/>
      <c r="I21" s="298" t="str">
        <f>IF($J$12&lt;&gt;"Please select in data input sheet",IF(C21="x",SPH_temp_behav!K36,""),"")</f>
        <v/>
      </c>
      <c r="J21" s="300" t="str">
        <f>IF($J$12&lt;&gt;"Please select in data input sheet",IF(C21="x","-",""),"")</f>
        <v/>
      </c>
      <c r="K21" s="298" t="str">
        <f>IF($J$12&lt;&gt;"Please select in data input sheet",IF(C21="x",SPH_temp_behav!L80,""),"")</f>
        <v/>
      </c>
      <c r="L21" s="298" t="str">
        <f>IF($J$12&lt;&gt;"Please select in data input sheet",IF(C21="x",0,""),"")</f>
        <v/>
      </c>
      <c r="M21" s="298" t="str">
        <f>IF($J$12&lt;&gt;"Please select in data input sheet",IF(C21="x",INDEX(Dropdowns!$B$2:$D$9,MATCH($G$11,Dropdowns!$A$2:$A$9,0),MATCH($B21,Dropdowns!$B$1:$D$1,0))*SPH_temp_behav!J190,""),"")</f>
        <v/>
      </c>
      <c r="N21" s="298" t="str">
        <f>IF($J$12&lt;&gt;"Please select in data input sheet",IF(C21="x",INDEX(Dropdowns!$B$2:$D$9,MATCH($G$11,Dropdowns!$A$2:$A$9,0),MATCH($B21,Dropdowns!$B$1:$D$1,0))*SPH_temp_behav!J238*INDEX(Dropdowns!$C$34:$C$38,MATCH($J$12,Dropdowns!$A$34:$A$38,0)),""),"")</f>
        <v/>
      </c>
      <c r="O21" s="298" t="str">
        <f>IF($J$12&lt;&gt;"Please select in data input sheet",IF(C21="x",INDEX(Dropdowns!$B$2:$D$9,MATCH($G$11,Dropdowns!$A$2:$A$9,0),MATCH($B21,Dropdowns!$B$1:$D$1,0))*SPH_temp_behav!J286*INDEX(Dropdowns!$C$34:$C$38,MATCH($J$12,Dropdowns!$A$34:$A$38,0)),""),"")</f>
        <v/>
      </c>
      <c r="P21" s="298" t="str">
        <f>IF($J$12&lt;&gt;"Please select in data input sheet",IF(C21="x",INDEX(Dropdowns!$B$2:$D$9,MATCH($G$11,Dropdowns!$A$2:$A$9,0),MATCH($B21,Dropdowns!$B$1:$D$1,0))*SPH_temp_behav!J178,""),"")</f>
        <v/>
      </c>
      <c r="Q21" s="309" t="str">
        <f>IF($J$12&lt;&gt;"Please select in data input sheet",IF(C21="x",INDEX(Dropdowns!$B$2:$D$9,MATCH($G$11,Dropdowns!$A$2:$A$9,0),MATCH($B21,Dropdowns!$B$1:$D$1,0))*SPH_temp_behav!J214,""),"")</f>
        <v/>
      </c>
      <c r="R21" s="309" t="str">
        <f>IF($J$12&lt;&gt;"Please select in data input sheet",IF(C21="x",INDEX(Dropdowns!$B$2:$D$9,MATCH($G$11,Dropdowns!$A$2:$A$9,0),MATCH($B21,Dropdowns!$B$1:$D$1,0))*SPH_temp_behav!J262,""),"")</f>
        <v/>
      </c>
      <c r="T21" s="248"/>
    </row>
    <row r="22" spans="1:20" ht="32.1" customHeight="1" outlineLevel="1" x14ac:dyDescent="0.25">
      <c r="B22" s="304" t="s">
        <v>92</v>
      </c>
      <c r="C22" s="289"/>
      <c r="D22" s="297" t="s">
        <v>93</v>
      </c>
      <c r="E22" s="299"/>
      <c r="F22" s="299"/>
      <c r="G22" s="299"/>
      <c r="H22" s="299"/>
      <c r="I22" s="299" t="str">
        <f>IF($J$12&lt;&gt;"Please select in data input sheet",IF(C22="x",SPH_VL_Seal!K31,""),"")</f>
        <v/>
      </c>
      <c r="J22" s="301" t="str">
        <f>IF($J$12&lt;&gt;"Please select in data input sheet",IF(C22="x","unrefurbished: "&amp;SPH_VL_Seal!O108&amp;", refurbished: "&amp;SPH_VL_Seal!P108,""),"")</f>
        <v/>
      </c>
      <c r="K22" s="299" t="str">
        <f>IF($J$12&lt;&gt;"Please select in data input sheet",IF(C22="x",SPH_VL_Seal!L82,""),"")</f>
        <v/>
      </c>
      <c r="L22" s="299" t="str">
        <f>IF($J$12&lt;&gt;"Please select in data input sheet",IF(C22="x",INDEX(Dropdowns!$B$2:$D$9,MATCH($G$11,Dropdowns!$A$2:$A$9,0),MATCH($B22,Dropdowns!$B$1:$D$1,0))*SPH_VL_Seal!J180*INDEX(Dropdowns!$C$34:$C$38,MATCH($J$12,Dropdowns!$A$34:$A$38,0)),""),"")</f>
        <v/>
      </c>
      <c r="M22" s="299" t="str">
        <f>IF($J$12&lt;&gt;"Please select in data input sheet",IF(C22="x",INDEX(Dropdowns!$B$2:$D$9,MATCH($G$11,Dropdowns!$A$2:$A$9,0),MATCH($B22,Dropdowns!$B$1:$D$1,0))*SPH_VL_Seal!J204,""),"")</f>
        <v/>
      </c>
      <c r="N22" s="299" t="str">
        <f>IF($J$12&lt;&gt;"Please select in data input sheet",IF(C22="x",INDEX(Dropdowns!$B$2:$D$9,MATCH($G$11,Dropdowns!$A$2:$A$9,0),MATCH($B22,Dropdowns!$B$1:$D$1,0))*SPH_VL_Seal!J252*INDEX(Dropdowns!$C$34:$C$38,MATCH($J$12,Dropdowns!$A$34:$A$38,0)),""),"")</f>
        <v/>
      </c>
      <c r="O22" s="299" t="str">
        <f>IF($J$12&lt;&gt;"Please select in data input sheet",IF(C22="x",INDEX(Dropdowns!$B$2:$D$9,MATCH($G$11,Dropdowns!$A$2:$A$9,0),MATCH($B22,Dropdowns!$B$1:$D$1,0))*SPH_VL_Seal!J300*INDEX(Dropdowns!$C$34:$C$38,MATCH($J$12,Dropdowns!$A$34:$A$38,0)),""),"")</f>
        <v/>
      </c>
      <c r="P22" s="299" t="str">
        <f>IF($J$12&lt;&gt;"Please select in data input sheet",IF(C22="x",INDEX(Dropdowns!$B$2:$D$9,MATCH($G$11,Dropdowns!$A$2:$A$9,0),MATCH($B22,Dropdowns!$B$1:$D$1,0))*SPH_VL_Seal!J192,""),"")</f>
        <v/>
      </c>
      <c r="Q22" s="310" t="str">
        <f>IF($J$12&lt;&gt;"Please select in data input sheet",IF(C22="x",INDEX(Dropdowns!$B$2:$D$9,MATCH($G$11,Dropdowns!$A$2:$A$9,0),MATCH($B22,Dropdowns!$B$1:$D$1,0))*SPH_VL_Seal!J228,""),"")</f>
        <v/>
      </c>
      <c r="R22" s="310" t="str">
        <f>IF($J$12&lt;&gt;"Please select in data input sheet",IF(C22="x",INDEX(Dropdowns!$B$2:$D$9,MATCH($G$11,Dropdowns!$A$2:$A$9,0),MATCH($B22,Dropdowns!$B$1:$D$1,0))*SPH_VL_Seal!J276,""),"")</f>
        <v/>
      </c>
    </row>
    <row r="23" spans="1:20" ht="26.1" customHeight="1" outlineLevel="1" x14ac:dyDescent="0.25">
      <c r="B23" s="304" t="s">
        <v>92</v>
      </c>
      <c r="C23" s="289"/>
      <c r="D23" s="296" t="s">
        <v>94</v>
      </c>
      <c r="E23" s="298"/>
      <c r="F23" s="298"/>
      <c r="G23" s="298"/>
      <c r="H23" s="298"/>
      <c r="I23" s="298" t="str">
        <f>IF($J$12&lt;&gt;"Please select in data input sheet",IF(C23="x",SPH_Pipe_insul!K39,""),"")</f>
        <v/>
      </c>
      <c r="J23" s="300" t="str">
        <f>IF($J$12&lt;&gt;"Please select in data input sheet",IF(C23="x","unrefurbished: "&amp;SPH_Pipe_insul!O110&amp;", refurbished: "&amp;SPH_Pipe_insul!P110,""),"")</f>
        <v/>
      </c>
      <c r="K23" s="298" t="str">
        <f>IF($J$12&lt;&gt;"Please select in data input sheet",IF(C23="x",SPH_Pipe_insul!L84,""),"")</f>
        <v/>
      </c>
      <c r="L23" s="298" t="str">
        <f>IF($J$12&lt;&gt;"Please select in data input sheet",IF(C23="x",INDEX(Dropdowns!$B$2:$D$9,MATCH($G$11,Dropdowns!$A$2:$A$9,0),MATCH($B23,Dropdowns!$B$1:$D$1,0))*SPH_Pipe_insul!J182*INDEX(Dropdowns!$C$34:$C$38,MATCH($J$12,Dropdowns!$A$34:$A$38,0)),""),"")</f>
        <v/>
      </c>
      <c r="M23" s="298" t="str">
        <f>IF($J$12&lt;&gt;"Please select in data input sheet",IF(C23="x",INDEX(Dropdowns!$B$2:$D$9,MATCH($G$11,Dropdowns!$A$2:$A$9,0),MATCH($B23,Dropdowns!$B$1:$D$1,0))*SPH_Pipe_insul!J206,""),"")</f>
        <v/>
      </c>
      <c r="N23" s="298" t="str">
        <f>IF($J$12&lt;&gt;"Please select in data input sheet",IF(C23="x",INDEX(Dropdowns!$B$2:$D$9,MATCH($G$11,Dropdowns!$A$2:$A$9,0),MATCH($B23,Dropdowns!$B$1:$D$1,0))*SPH_Pipe_insul!J254*INDEX(Dropdowns!$C$34:$C$38,MATCH($J$12,Dropdowns!$A$34:$A$38,0)),""),"")</f>
        <v/>
      </c>
      <c r="O23" s="298" t="str">
        <f>IF($J$12&lt;&gt;"Please select in data input sheet",IF(C23="x",INDEX(Dropdowns!$B$2:$D$9,MATCH($G$11,Dropdowns!$A$2:$A$9,0),MATCH($B23,Dropdowns!$B$1:$D$1,0))*SPH_Pipe_insul!J302*INDEX(Dropdowns!$C$34:$C$38,MATCH($J$12,Dropdowns!$A$34:$A$38,0)),""),"")</f>
        <v/>
      </c>
      <c r="P23" s="298" t="str">
        <f>IF($J$12&lt;&gt;"Please select in data input sheet",IF(C23="x",INDEX(Dropdowns!$B$2:$D$9,MATCH($G$11,Dropdowns!$A$2:$A$9,0),MATCH($B23,Dropdowns!$B$1:$D$1,0))*SPH_Pipe_insul!J194,""),"")</f>
        <v/>
      </c>
      <c r="Q23" s="309" t="str">
        <f>IF($J$12&lt;&gt;"Please select in data input sheet",IF(C23="x",INDEX(Dropdowns!$B$2:$D$9,MATCH($G$11,Dropdowns!$A$2:$A$9,0),MATCH($B23,Dropdowns!$B$1:$D$1,0))*SPH_Pipe_insul!J230,""),"")</f>
        <v/>
      </c>
      <c r="R23" s="309" t="str">
        <f>IF($J$12&lt;&gt;"Please select in data input sheet",IF(C23="x",INDEX(Dropdowns!$B$2:$D$9,MATCH($G$11,Dropdowns!$A$2:$A$9,0),MATCH($B23,Dropdowns!$B$1:$D$1,0))*SPH_Pipe_insul!J278,""),"")</f>
        <v/>
      </c>
    </row>
    <row r="24" spans="1:20" s="282" customFormat="1" ht="26.1" customHeight="1" outlineLevel="1" x14ac:dyDescent="0.25">
      <c r="A24" s="283"/>
      <c r="B24" s="304" t="s">
        <v>95</v>
      </c>
      <c r="C24" s="289"/>
      <c r="D24" s="297" t="s">
        <v>96</v>
      </c>
      <c r="E24" s="299"/>
      <c r="F24" s="299"/>
      <c r="G24" s="299"/>
      <c r="H24" s="299"/>
      <c r="I24" s="299" t="str">
        <f>IF($J$12&lt;&gt;"Please select in data input sheet",IF(C24="x",SPH_TL_UC!K34,""),"")</f>
        <v/>
      </c>
      <c r="J24" s="301" t="str">
        <f>IF($J$12&lt;&gt;"Please select in data input sheet",IF(C24="x","unrefurbished: "&amp;SPH_TL_UC!O101&amp;", refurbished: "&amp;SPH_TL_UC!P101,""),"")</f>
        <v/>
      </c>
      <c r="K24" s="299" t="str">
        <f>IF($J$12&lt;&gt;"Please select in data input sheet",IF(C24="x",SPH_TL_UC!L75,""),"")</f>
        <v/>
      </c>
      <c r="L24" s="299" t="str">
        <f>IF($J$12&lt;&gt;"Please select in data input sheet",IF(C24="x",INDEX(Dropdowns!$B$2:$D$9,MATCH($G$11,Dropdowns!$A$2:$A$9,0),MATCH($B24,Dropdowns!$B$1:$D$1,0))*SPH_TL_UC!J173*INDEX(Dropdowns!$C$34:$C$38,MATCH($J$12,Dropdowns!$A$34:$A$38,0)),""),"")</f>
        <v/>
      </c>
      <c r="M24" s="299" t="str">
        <f>IF($J$12&lt;&gt;"Please select in data input sheet",IF(C24="x",INDEX(Dropdowns!$B$2:$D$9,MATCH($G$11,Dropdowns!$A$2:$A$9,0),MATCH($B24,Dropdowns!$B$1:$D$1,0))*SPH_TL_UC!J197,""),"")</f>
        <v/>
      </c>
      <c r="N24" s="299" t="str">
        <f>IF($J$12&lt;&gt;"Please select in data input sheet",IF(C24="x",INDEX(Dropdowns!$B$2:$D$9,MATCH($G$11,Dropdowns!$A$2:$A$9,0),MATCH($B24,Dropdowns!$B$1:$D$1,0))*SPH_TL_UC!J245*INDEX(Dropdowns!$C$34:$C$38,MATCH($J$12,Dropdowns!$A$34:$A$38,0)),""),"")</f>
        <v/>
      </c>
      <c r="O24" s="299" t="str">
        <f>IF($J$12&lt;&gt;"Please select in data input sheet",IF(C24="x",INDEX(Dropdowns!$B$2:$D$9,MATCH($G$11,Dropdowns!$A$2:$A$9,0),MATCH($B24,Dropdowns!$B$1:$D$1,0))*SPH_TL_UC!J293*INDEX(Dropdowns!$C$34:$C$38,MATCH($J$12,Dropdowns!$A$34:$A$38,0)),""),"")</f>
        <v/>
      </c>
      <c r="P24" s="299" t="str">
        <f>IF($J$12&lt;&gt;"Please select in data input sheet",IF(C24="x",INDEX(Dropdowns!$B$2:$D$9,MATCH($G$11,Dropdowns!$A$2:$A$9,0),MATCH($B24,Dropdowns!$B$1:$D$1,0))*SPH_TL_UC!J185,""),"")</f>
        <v/>
      </c>
      <c r="Q24" s="310" t="str">
        <f>IF($J$12&lt;&gt;"Please select in data input sheet",IF(C24="x",INDEX(Dropdowns!$B$2:$D$9,MATCH($G$11,Dropdowns!$A$2:$A$9,0),MATCH($B24,Dropdowns!$B$1:$D$1,0))*SPH_TL_UC!J221,""),"")</f>
        <v/>
      </c>
      <c r="R24" s="310" t="str">
        <f>IF($J$12&lt;&gt;"Please select in data input sheet",IF(C24="x",INDEX(Dropdowns!$B$2:$D$9,MATCH($G$11,Dropdowns!$A$2:$A$9,0),MATCH($B24,Dropdowns!$B$1:$D$1,0))*SPH_TL_UC!J269,""),"")</f>
        <v/>
      </c>
      <c r="S24" s="281"/>
    </row>
    <row r="25" spans="1:20" ht="78" customHeight="1" x14ac:dyDescent="0.25">
      <c r="C25" s="323" t="s">
        <v>97</v>
      </c>
      <c r="D25" s="323"/>
      <c r="E25" s="323"/>
      <c r="F25" s="323"/>
      <c r="G25" s="323"/>
      <c r="H25" s="323"/>
      <c r="I25" s="308" t="s">
        <v>85</v>
      </c>
      <c r="J25" s="308" t="s">
        <v>86</v>
      </c>
      <c r="K25" s="308" t="s">
        <v>87</v>
      </c>
      <c r="L25" s="308" t="s">
        <v>76</v>
      </c>
      <c r="M25" s="308" t="s">
        <v>77</v>
      </c>
      <c r="N25" s="308" t="s">
        <v>78</v>
      </c>
      <c r="O25" s="308" t="s">
        <v>79</v>
      </c>
      <c r="P25" s="308" t="s">
        <v>80</v>
      </c>
      <c r="Q25" s="308" t="s">
        <v>81</v>
      </c>
      <c r="R25" s="308" t="s">
        <v>82</v>
      </c>
    </row>
    <row r="26" spans="1:20" ht="29.1" customHeight="1" x14ac:dyDescent="0.25">
      <c r="B26" s="303" t="s">
        <v>898</v>
      </c>
      <c r="C26" s="295" t="s">
        <v>899</v>
      </c>
      <c r="D26" s="295" t="s">
        <v>903</v>
      </c>
      <c r="E26" s="204"/>
      <c r="F26" s="204"/>
      <c r="G26" s="204"/>
      <c r="H26" s="204"/>
      <c r="I26" s="332" t="s">
        <v>88</v>
      </c>
      <c r="J26" s="332"/>
      <c r="K26" s="332"/>
      <c r="L26" s="333" t="s">
        <v>89</v>
      </c>
      <c r="M26" s="333"/>
      <c r="N26" s="333"/>
      <c r="O26" s="333"/>
      <c r="P26" s="333"/>
      <c r="Q26" s="333"/>
      <c r="R26" s="333"/>
      <c r="T26" s="248"/>
    </row>
    <row r="27" spans="1:20" ht="26.1" customHeight="1" outlineLevel="1" x14ac:dyDescent="0.25">
      <c r="B27" s="304" t="s">
        <v>90</v>
      </c>
      <c r="C27" s="289"/>
      <c r="D27" s="296" t="s">
        <v>98</v>
      </c>
      <c r="E27" s="298"/>
      <c r="F27" s="298"/>
      <c r="G27" s="298"/>
      <c r="H27" s="298"/>
      <c r="I27" s="298" t="str">
        <f>IF($J$12&lt;&gt;"Please select in data input sheet",IF(C27="x",'DHW_shower vs. bath'!J29,""),"")</f>
        <v/>
      </c>
      <c r="J27" s="300" t="str">
        <f>IF($J$12&lt;&gt;"Please select in data input sheet",IF(C27="x","-",""),"")</f>
        <v/>
      </c>
      <c r="K27" s="298" t="str">
        <f>IF($J$12&lt;&gt;"Please select in data input sheet",IF(C27="x",'DHW_shower vs. bath'!K40,""),"")</f>
        <v/>
      </c>
      <c r="L27" s="298" t="str">
        <f>IF($J$12&lt;&gt;"Please select in data input sheet",IF(C27="x",0,""),"")</f>
        <v/>
      </c>
      <c r="M27" s="298" t="str">
        <f>IF($J$12&lt;&gt;"Please select in data input sheet",IF(C27="x",INDEX(Dropdowns!$B$2:$D$9,MATCH($G$11,Dropdowns!$A$2:$A$9,0),MATCH($B27,Dropdowns!$B$1:$D$1,0))*'DHW_shower vs. bath'!J124,""),"")</f>
        <v/>
      </c>
      <c r="N27" s="298" t="str">
        <f>IF($J$12&lt;&gt;"Please select in data input sheet",IF(C27="x",INDEX(Dropdowns!$B$2:$D$9,MATCH($G$11,Dropdowns!$A$2:$A$9,0),MATCH($B27,Dropdowns!$B$1:$D$1,0))*'DHW_shower vs. bath'!J172*INDEX(Dropdowns!$C$34:$C$38,MATCH($J$12,Dropdowns!$A$34:$A$38,0)),""),"")</f>
        <v/>
      </c>
      <c r="O27" s="298" t="str">
        <f>IF($J$12&lt;&gt;"Please select in data input sheet",IF(C27="x",INDEX(Dropdowns!$B$2:$D$9,MATCH($G$11,Dropdowns!$A$2:$A$9,0),MATCH($B27,Dropdowns!$B$1:$D$1,0))*'DHW_shower vs. bath'!J220*INDEX(Dropdowns!$C$34:$C$38,MATCH($J$12,Dropdowns!$A$34:$A$38,0)),""),"")</f>
        <v/>
      </c>
      <c r="P27" s="298" t="str">
        <f>IF($J$12&lt;&gt;"Please select in data input sheet",IF(C27="x",INDEX(Dropdowns!$B$2:$D$9,MATCH($G$11,Dropdowns!$A$2:$A$9,0),MATCH($B27,Dropdowns!$B$1:$D$1,0))*'DHW_shower vs. bath'!J112,""),"")</f>
        <v/>
      </c>
      <c r="Q27" s="309" t="str">
        <f>IF($J$12&lt;&gt;"Please select in data input sheet",IF(C27="x",INDEX(Dropdowns!$B$2:$D$9,MATCH($G$11,Dropdowns!$A$2:$A$9,0),MATCH($B27,Dropdowns!$B$1:$D$1,0))*'DHW_shower vs. bath'!J148,""),"")</f>
        <v/>
      </c>
      <c r="R27" s="309" t="str">
        <f>IF($J$12&lt;&gt;"Please select in data input sheet",IF(C27="x",INDEX(Dropdowns!$B$2:$D$9,MATCH($G$11,Dropdowns!$A$2:$A$9,0),MATCH($B27,Dropdowns!$B$1:$D$1,0))*'DHW_shower vs. bath'!J196,""),"")</f>
        <v/>
      </c>
    </row>
    <row r="28" spans="1:20" ht="26.1" customHeight="1" outlineLevel="1" x14ac:dyDescent="0.25">
      <c r="B28" s="304" t="s">
        <v>90</v>
      </c>
      <c r="C28" s="289"/>
      <c r="D28" s="297" t="s">
        <v>99</v>
      </c>
      <c r="E28" s="299"/>
      <c r="F28" s="299"/>
      <c r="G28" s="299"/>
      <c r="H28" s="299"/>
      <c r="I28" s="299" t="str">
        <f>IF($J$12&lt;&gt;"Please select in data input sheet",IF(C28="x",'DHW_lowered shower-time'!J29,""),"")</f>
        <v/>
      </c>
      <c r="J28" s="301" t="str">
        <f t="shared" ref="J28:J30" si="1">IF($J$12&lt;&gt;"Please select in data input sheet",IF(C28="x","-",""),"")</f>
        <v/>
      </c>
      <c r="K28" s="299" t="str">
        <f>IF($J$12&lt;&gt;"Please select in data input sheet",IF(C28="x",'DHW_lowered shower-time'!K40,""),"")</f>
        <v/>
      </c>
      <c r="L28" s="299" t="str">
        <f t="shared" ref="L28:L30" si="2">IF($J$12&lt;&gt;"Please select in data input sheet",IF(C28="x",0,""),"")</f>
        <v/>
      </c>
      <c r="M28" s="299" t="str">
        <f>IF($J$12&lt;&gt;"Please select in data input sheet",IF(C28="x",INDEX(Dropdowns!$B$2:$D$9,MATCH($G$11,Dropdowns!$A$2:$A$9,0),MATCH($B28,Dropdowns!$B$1:$D$1,0))*'DHW_lowered shower-time'!J124,""),"")</f>
        <v/>
      </c>
      <c r="N28" s="299" t="str">
        <f>IF($J$12&lt;&gt;"Please select in data input sheet",IF(C28="x",INDEX(Dropdowns!$B$2:$D$9,MATCH($G$11,Dropdowns!$A$2:$A$9,0),MATCH($B28,Dropdowns!$B$1:$D$1,0))*'DHW_lowered shower-time'!J172*INDEX(Dropdowns!$C$34:$C$38,MATCH($J$12,Dropdowns!$A$34:$A$38,0)),""),"")</f>
        <v/>
      </c>
      <c r="O28" s="299" t="str">
        <f>IF($J$12&lt;&gt;"Please select in data input sheet",IF(C28="x",INDEX(Dropdowns!$B$2:$D$9,MATCH($G$11,Dropdowns!$A$2:$A$9,0),MATCH($B28,Dropdowns!$B$1:$D$1,0))*'DHW_lowered shower-time'!J220*INDEX(Dropdowns!$C$34:$C$38,MATCH($J$12,Dropdowns!$A$34:$A$38,0)),""),"")</f>
        <v/>
      </c>
      <c r="P28" s="299" t="str">
        <f>IF($J$12&lt;&gt;"Please select in data input sheet",IF(C28="x",INDEX(Dropdowns!$B$2:$D$9,MATCH($G$11,Dropdowns!$A$2:$A$9,0),MATCH($B28,Dropdowns!$B$1:$D$1,0))*'DHW_lowered shower-time'!J112,""),"")</f>
        <v/>
      </c>
      <c r="Q28" s="310" t="str">
        <f>IF($J$12&lt;&gt;"Please select in data input sheet",IF(C28="x",INDEX(Dropdowns!$B$2:$D$9,MATCH($G$11,Dropdowns!$A$2:$A$9,0),MATCH($B28,Dropdowns!$B$1:$D$1,0))*'DHW_lowered shower-time'!J148,""),"")</f>
        <v/>
      </c>
      <c r="R28" s="310" t="str">
        <f>IF($J$12&lt;&gt;"Please select in data input sheet",IF(C28="x",INDEX(Dropdowns!$B$2:$D$9,MATCH($G$11,Dropdowns!$A$2:$A$9,0),MATCH($B28,Dropdowns!$B$1:$D$1,0))*'DHW_lowered shower-time'!J196,""),"")</f>
        <v/>
      </c>
    </row>
    <row r="29" spans="1:20" ht="26.1" customHeight="1" outlineLevel="1" x14ac:dyDescent="0.25">
      <c r="B29" s="304" t="s">
        <v>90</v>
      </c>
      <c r="C29" s="289"/>
      <c r="D29" s="296" t="s">
        <v>100</v>
      </c>
      <c r="E29" s="298"/>
      <c r="F29" s="298"/>
      <c r="G29" s="298"/>
      <c r="H29" s="298"/>
      <c r="I29" s="298" t="str">
        <f>IF($J$12&lt;&gt;"Please select in data input sheet",IF(C29="x",'DHW_dish_washer vs. hand'!J29,""),"")</f>
        <v/>
      </c>
      <c r="J29" s="300" t="str">
        <f t="shared" si="1"/>
        <v/>
      </c>
      <c r="K29" s="298" t="str">
        <f>IF($J$12&lt;&gt;"Please select in data input sheet",IF(C29="x",'DHW_dish_washer vs. hand'!K40,""),"")</f>
        <v/>
      </c>
      <c r="L29" s="298" t="str">
        <f t="shared" si="2"/>
        <v/>
      </c>
      <c r="M29" s="298" t="str">
        <f>IF($J$12&lt;&gt;"Please select in data input sheet",IF(C29="x",INDEX(Dropdowns!$B$2:$D$9,MATCH($G$11,Dropdowns!$A$2:$A$9,0),MATCH($B29,Dropdowns!$B$1:$D$1,0))*'DHW_dish_washer vs. hand'!J124,""),"")</f>
        <v/>
      </c>
      <c r="N29" s="298" t="str">
        <f>IF($J$12&lt;&gt;"Please select in data input sheet",IF(C29="x",INDEX(Dropdowns!$B$2:$D$9,MATCH($G$11,Dropdowns!$A$2:$A$9,0),MATCH($B29,Dropdowns!$B$1:$D$1,0))*'DHW_dish_washer vs. hand'!J172*INDEX(Dropdowns!$C$34:$C$38,MATCH($J$12,Dropdowns!$A$34:$A$38,0)),""),"")</f>
        <v/>
      </c>
      <c r="O29" s="298" t="str">
        <f>IF($J$12&lt;&gt;"Please select in data input sheet",IF(C29="x",INDEX(Dropdowns!$B$2:$D$9,MATCH($G$11,Dropdowns!$A$2:$A$9,0),MATCH($B29,Dropdowns!$B$1:$D$1,0))*'DHW_dish_washer vs. hand'!J220*INDEX(Dropdowns!$C$34:$C$38,MATCH($J$12,Dropdowns!$A$34:$A$38,0)),""),"")</f>
        <v/>
      </c>
      <c r="P29" s="298" t="str">
        <f>IF($J$12&lt;&gt;"Please select in data input sheet",IF(C29="x",INDEX(Dropdowns!$B$2:$D$9,MATCH($G$11,Dropdowns!$A$2:$A$9,0),MATCH($B29,Dropdowns!$B$1:$D$1,0))*'DHW_dish_washer vs. hand'!J112,""),"")</f>
        <v/>
      </c>
      <c r="Q29" s="309" t="str">
        <f>IF($J$12&lt;&gt;"Please select in data input sheet",IF(C29="x",INDEX(Dropdowns!$B$2:$D$9,MATCH($G$11,Dropdowns!$A$2:$A$9,0),MATCH($B29,Dropdowns!$B$1:$D$1,0))*'DHW_dish_washer vs. hand'!J148,""),"")</f>
        <v/>
      </c>
      <c r="R29" s="309" t="str">
        <f>IF($J$12&lt;&gt;"Please select in data input sheet",IF(C29="x",INDEX(Dropdowns!$B$2:$D$9,MATCH($G$11,Dropdowns!$A$2:$A$9,0),MATCH($B29,Dropdowns!$B$1:$D$1,0))*'DHW_dish_washer vs. hand'!J196,""),"")</f>
        <v/>
      </c>
    </row>
    <row r="30" spans="1:20" ht="26.1" customHeight="1" outlineLevel="1" x14ac:dyDescent="0.25">
      <c r="B30" s="304" t="s">
        <v>90</v>
      </c>
      <c r="C30" s="289"/>
      <c r="D30" s="297" t="s">
        <v>101</v>
      </c>
      <c r="E30" s="299"/>
      <c r="F30" s="299"/>
      <c r="G30" s="299"/>
      <c r="H30" s="299"/>
      <c r="I30" s="299" t="str">
        <f>IF($J$12&lt;&gt;"Please select in data input sheet",IF(C30="x",'DHW_cold vs. warm'!J29,""),"")</f>
        <v/>
      </c>
      <c r="J30" s="301" t="str">
        <f t="shared" si="1"/>
        <v/>
      </c>
      <c r="K30" s="299" t="str">
        <f>IF($J$12&lt;&gt;"Please select in data input sheet",IF(C30="x",'DHW_cold vs. warm'!K40,""),"")</f>
        <v/>
      </c>
      <c r="L30" s="299" t="str">
        <f t="shared" si="2"/>
        <v/>
      </c>
      <c r="M30" s="299" t="str">
        <f>IF($J$12&lt;&gt;"Please select in data input sheet",IF(C30="x",INDEX(Dropdowns!$B$2:$D$9,MATCH($G$11,Dropdowns!$A$2:$A$9,0),MATCH($B30,Dropdowns!$B$1:$D$1,0))*'DHW_cold vs. warm'!J124,""),"")</f>
        <v/>
      </c>
      <c r="N30" s="299" t="str">
        <f>IF($J$12&lt;&gt;"Please select in data input sheet",IF(C30="x",INDEX(Dropdowns!$B$2:$D$9,MATCH($G$11,Dropdowns!$A$2:$A$9,0),MATCH($B30,Dropdowns!$B$1:$D$1,0))*'DHW_cold vs. warm'!J172*INDEX(Dropdowns!$C$34:$C$38,MATCH($J$12,Dropdowns!$A$34:$A$38,0)),""),"")</f>
        <v/>
      </c>
      <c r="O30" s="299" t="str">
        <f>IF($J$12&lt;&gt;"Please select in data input sheet",IF(C30="x",INDEX(Dropdowns!$B$2:$D$9,MATCH($G$11,Dropdowns!$A$2:$A$9,0),MATCH($B30,Dropdowns!$B$1:$D$1,0))*'DHW_cold vs. warm'!J220*INDEX(Dropdowns!$C$34:$C$38,MATCH($J$12,Dropdowns!$A$34:$A$38,0)),""),"")</f>
        <v/>
      </c>
      <c r="P30" s="299" t="str">
        <f>IF($J$12&lt;&gt;"Please select in data input sheet",IF(C30="x",INDEX(Dropdowns!$B$2:$D$9,MATCH($G$11,Dropdowns!$A$2:$A$9,0),MATCH($B30,Dropdowns!$B$1:$D$1,0))*'DHW_cold vs. warm'!J112,""),"")</f>
        <v/>
      </c>
      <c r="Q30" s="310" t="str">
        <f>IF($J$12&lt;&gt;"Please select in data input sheet",IF(C30="x",INDEX(Dropdowns!$B$2:$D$9,MATCH($G$11,Dropdowns!$A$2:$A$9,0),MATCH($B30,Dropdowns!$B$1:$D$1,0))*'DHW_cold vs. warm'!J148,""),"")</f>
        <v/>
      </c>
      <c r="R30" s="310" t="str">
        <f>IF($J$12&lt;&gt;"Please select in data input sheet",IF(C30="x",INDEX(Dropdowns!$B$2:$D$9,MATCH($G$11,Dropdowns!$A$2:$A$9,0),MATCH($B30,Dropdowns!$B$1:$D$1,0))*'DHW_cold vs. warm'!J196,""),"")</f>
        <v/>
      </c>
    </row>
    <row r="31" spans="1:20" ht="26.1" customHeight="1" outlineLevel="1" x14ac:dyDescent="0.25">
      <c r="B31" s="304" t="s">
        <v>92</v>
      </c>
      <c r="C31" s="289"/>
      <c r="D31" s="296" t="s">
        <v>102</v>
      </c>
      <c r="E31" s="298"/>
      <c r="F31" s="298"/>
      <c r="G31" s="298"/>
      <c r="H31" s="298"/>
      <c r="I31" s="298" t="str">
        <f>IF($J$12&lt;&gt;"Please select in data input sheet",IF(C31="x",DHW_small_invest!K47,""),"")</f>
        <v/>
      </c>
      <c r="J31" s="300" t="str">
        <f>IF($J$12&lt;&gt;"Please select in data input sheet",IF(C31="x","unrefurbished: "&amp;DHW_small_invest!O84&amp;", refurbished: "&amp;DHW_small_invest!P84,""),"")</f>
        <v/>
      </c>
      <c r="K31" s="298" t="str">
        <f>IF($J$12&lt;&gt;"Please select in data input sheet",IF(C31="x",DHW_small_invest!L58,""),"")</f>
        <v/>
      </c>
      <c r="L31" s="298" t="str">
        <f>IF($J$12&lt;&gt;"Please select in data input sheet",IF(C31="x",INDEX(Dropdowns!$B$2:$D$9,MATCH($G$11,Dropdowns!$A$2:$A$9,0),MATCH($B31,Dropdowns!$B$1:$D$1,0))*DHW_small_invest!J156*INDEX(Dropdowns!$C$34:$C$38,MATCH($J$12,Dropdowns!$A$34:$A$38,0)),""),"")</f>
        <v/>
      </c>
      <c r="M31" s="298" t="str">
        <f>IF($J$12&lt;&gt;"Please select in data input sheet",IF(C31="x",INDEX(Dropdowns!$B$2:$D$9,MATCH($G$11,Dropdowns!$A$2:$A$9,0),MATCH($B31,Dropdowns!$B$1:$D$1,0))*DHW_small_invest!J180,""),"")</f>
        <v/>
      </c>
      <c r="N31" s="298" t="str">
        <f>IF($J$12&lt;&gt;"Please select in data input sheet",IF(C31="x",INDEX(Dropdowns!$B$2:$D$9,MATCH($G$11,Dropdowns!$A$2:$A$9,0),MATCH($B31,Dropdowns!$B$1:$D$1,0))*DHW_small_invest!J228*INDEX(Dropdowns!$C$34:$C$38,MATCH($J$12,Dropdowns!$A$34:$A$38,0)),""),"")</f>
        <v/>
      </c>
      <c r="O31" s="298" t="str">
        <f>IF($J$12&lt;&gt;"Please select in data input sheet",IF(C31="x",INDEX(Dropdowns!$B$2:$D$9,MATCH($G$11,Dropdowns!$A$2:$A$9,0),MATCH($B31,Dropdowns!$B$1:$D$1,0))*DHW_small_invest!J276*INDEX(Dropdowns!$C$34:$C$38,MATCH($J$12,Dropdowns!$A$34:$A$38,0)),""),"")</f>
        <v/>
      </c>
      <c r="P31" s="298" t="str">
        <f>IF($J$12&lt;&gt;"Please select in data input sheet",IF(C31="x",INDEX(Dropdowns!$B$2:$D$9,MATCH($G$11,Dropdowns!$A$2:$A$9,0),MATCH($B31,Dropdowns!$B$1:$D$1,0))*DHW_small_invest!J168,""),"")</f>
        <v/>
      </c>
      <c r="Q31" s="309" t="str">
        <f>IF($J$12&lt;&gt;"Please select in data input sheet",IF(C31="x",INDEX(Dropdowns!$B$2:$D$9,MATCH($G$11,Dropdowns!$A$2:$A$9,0),MATCH($B31,Dropdowns!$B$1:$D$1,0))*DHW_small_invest!J204,""),"")</f>
        <v/>
      </c>
      <c r="R31" s="309" t="str">
        <f>IF($J$12&lt;&gt;"Please select in data input sheet",IF(C31="x",INDEX(Dropdowns!$B$2:$D$9,MATCH($G$11,Dropdowns!$A$2:$A$9,0),MATCH($B31,Dropdowns!$B$1:$D$1,0))*DHW_small_invest!J252,""),"")</f>
        <v/>
      </c>
    </row>
    <row r="32" spans="1:20" ht="26.1" customHeight="1" outlineLevel="1" x14ac:dyDescent="0.25">
      <c r="B32" s="304" t="s">
        <v>92</v>
      </c>
      <c r="C32" s="289"/>
      <c r="D32" s="297" t="s">
        <v>94</v>
      </c>
      <c r="E32" s="299"/>
      <c r="F32" s="299"/>
      <c r="G32" s="299"/>
      <c r="H32" s="299"/>
      <c r="I32" s="299" t="str">
        <f>IF($J$12&lt;&gt;"Please select in data input sheet",IF(C32="x",DHW_Pipe_insul!K39,""),"")</f>
        <v/>
      </c>
      <c r="J32" s="301" t="str">
        <f>IF($J$12&lt;&gt;"Please select in data input sheet",IF(C32="x","unrefurbished: "&amp;DHW_Pipe_insul!O110&amp;", refurbished: "&amp;DHW_Pipe_insul!P110,""),"")</f>
        <v/>
      </c>
      <c r="K32" s="299" t="str">
        <f>IF($J$12&lt;&gt;"Please select in data input sheet",IF(C32="x",DHW_Pipe_insul!L84,""),"")</f>
        <v/>
      </c>
      <c r="L32" s="299" t="str">
        <f>IF($J$12&lt;&gt;"Please select in data input sheet",IF(C32="x",INDEX(Dropdowns!$B$2:$D$9,MATCH($G$11,Dropdowns!$A$2:$A$9,0),MATCH($B32,Dropdowns!$B$1:$D$1,0))*DHW_Pipe_insul!J182*INDEX(Dropdowns!$C$34:$C$38,MATCH($J$12,Dropdowns!$A$34:$A$38,0)),""),"")</f>
        <v/>
      </c>
      <c r="M32" s="299" t="str">
        <f>IF($J$12&lt;&gt;"Please select in data input sheet",IF(C32="x",INDEX(Dropdowns!$B$2:$D$9,MATCH($G$11,Dropdowns!$A$2:$A$9,0),MATCH($B32,Dropdowns!$B$1:$D$1,0))*DHW_Pipe_insul!J206,""),"")</f>
        <v/>
      </c>
      <c r="N32" s="299" t="str">
        <f>IF($J$12&lt;&gt;"Please select in data input sheet",IF(C32="x",INDEX(Dropdowns!$B$2:$D$9,MATCH($G$11,Dropdowns!$A$2:$A$9,0),MATCH($B32,Dropdowns!$B$1:$D$1,0))*DHW_Pipe_insul!J254*INDEX(Dropdowns!$C$34:$C$38,MATCH($J$12,Dropdowns!$A$34:$A$38,0)),""),"")</f>
        <v/>
      </c>
      <c r="O32" s="299" t="str">
        <f>IF($J$12&lt;&gt;"Please select in data input sheet",IF(C32="x",INDEX(Dropdowns!$B$2:$D$9,MATCH($G$11,Dropdowns!$A$2:$A$9,0),MATCH($B32,Dropdowns!$B$1:$D$1,0))*DHW_Pipe_insul!J302*INDEX(Dropdowns!$C$34:$C$38,MATCH($J$12,Dropdowns!$A$34:$A$38,0)),""),"")</f>
        <v/>
      </c>
      <c r="P32" s="299" t="str">
        <f>IF($J$12&lt;&gt;"Please select in data input sheet",IF(C32="x",INDEX(Dropdowns!$B$2:$D$9,MATCH($G$11,Dropdowns!$A$2:$A$9,0),MATCH($B32,Dropdowns!$B$1:$D$1,0))*DHW_Pipe_insul!J194,""),"")</f>
        <v/>
      </c>
      <c r="Q32" s="310" t="str">
        <f>IF($J$12&lt;&gt;"Please select in data input sheet",IF(C32="x",INDEX(Dropdowns!$B$2:$D$9,MATCH($G$11,Dropdowns!$A$2:$A$9,0),MATCH($B32,Dropdowns!$B$1:$D$1,0))*DHW_Pipe_insul!J230,""),"")</f>
        <v/>
      </c>
      <c r="R32" s="310" t="str">
        <f>IF($J$12&lt;&gt;"Please select in data input sheet",IF(C32="x",INDEX(Dropdowns!$B$2:$D$9,MATCH($G$11,Dropdowns!$A$2:$A$9,0),MATCH($B32,Dropdowns!$B$1:$D$1,0))*DHW_Pipe_insul!J278,""),"")</f>
        <v/>
      </c>
    </row>
    <row r="33" spans="2:20" ht="78" customHeight="1" x14ac:dyDescent="0.25">
      <c r="C33" s="323" t="s">
        <v>103</v>
      </c>
      <c r="D33" s="323"/>
      <c r="E33" s="323"/>
      <c r="F33" s="323"/>
      <c r="G33" s="323"/>
      <c r="H33" s="323"/>
      <c r="I33" s="308" t="s">
        <v>85</v>
      </c>
      <c r="J33" s="308" t="s">
        <v>86</v>
      </c>
      <c r="K33" s="308" t="s">
        <v>87</v>
      </c>
      <c r="L33" s="308" t="s">
        <v>76</v>
      </c>
      <c r="M33" s="308" t="s">
        <v>77</v>
      </c>
      <c r="N33" s="308" t="s">
        <v>78</v>
      </c>
      <c r="O33" s="308" t="s">
        <v>79</v>
      </c>
      <c r="P33" s="308" t="s">
        <v>80</v>
      </c>
      <c r="Q33" s="308" t="s">
        <v>81</v>
      </c>
      <c r="R33" s="308" t="s">
        <v>82</v>
      </c>
      <c r="T33" s="248"/>
    </row>
    <row r="34" spans="2:20" ht="29.1" customHeight="1" x14ac:dyDescent="0.25">
      <c r="B34" s="303" t="s">
        <v>898</v>
      </c>
      <c r="C34" s="295" t="s">
        <v>899</v>
      </c>
      <c r="D34" s="295" t="s">
        <v>903</v>
      </c>
      <c r="E34" s="204"/>
      <c r="F34" s="204"/>
      <c r="G34" s="204"/>
      <c r="H34" s="204"/>
      <c r="I34" s="332" t="s">
        <v>88</v>
      </c>
      <c r="J34" s="332"/>
      <c r="K34" s="332"/>
      <c r="L34" s="333" t="s">
        <v>89</v>
      </c>
      <c r="M34" s="333"/>
      <c r="N34" s="333"/>
      <c r="O34" s="333"/>
      <c r="P34" s="333"/>
      <c r="Q34" s="333"/>
      <c r="R34" s="333"/>
      <c r="T34" s="248"/>
    </row>
    <row r="35" spans="2:20" ht="26.1" customHeight="1" outlineLevel="1" x14ac:dyDescent="0.25">
      <c r="B35" s="304" t="s">
        <v>90</v>
      </c>
      <c r="C35" s="289"/>
      <c r="D35" s="296" t="s">
        <v>104</v>
      </c>
      <c r="E35" s="298"/>
      <c r="F35" s="298"/>
      <c r="G35" s="298"/>
      <c r="H35" s="298"/>
      <c r="I35" s="298" t="str">
        <f>IF($J$12&lt;&gt;"Please select in data input sheet",IF(C35="x",'eDevices_general+behavior'!J83,""),"")</f>
        <v/>
      </c>
      <c r="J35" s="300" t="str">
        <f>IF($J$12&lt;&gt;"Please select in data input sheet",IF(C35="x","-",""),"")</f>
        <v/>
      </c>
      <c r="K35" s="298" t="str">
        <f>IF($J$12&lt;&gt;"Please select in data input sheet",IF(C35="x",'eDevices_general+behavior'!J92,""),"")</f>
        <v/>
      </c>
      <c r="L35" s="298" t="str">
        <f>IF($J$12&lt;&gt;"Please select in data input sheet",IF(C35="x",0,""),"")</f>
        <v/>
      </c>
      <c r="M35" s="298" t="str">
        <f>IF($J$12&lt;&gt;"Please select in data input sheet",IF(C35="x",INDEX(Dropdowns!$B$2:$D$9,MATCH($G$11,Dropdowns!$A$2:$A$9,0),MATCH($B35,Dropdowns!$B$1:$D$1,0))*'eDevices_general+behavior'!J160,""),"")</f>
        <v/>
      </c>
      <c r="N35" s="298" t="str">
        <f>IF($J$12&lt;&gt;"Please select in data input sheet",IF(C35="x",INDEX(Dropdowns!$B$2:$D$9,MATCH($G$11,Dropdowns!$A$2:$A$9,0),MATCH($B35,Dropdowns!$B$1:$D$1,0))*'eDevices_general+behavior'!J196*INDEX(Dropdowns!$C$34:$C$38,MATCH($J$12,Dropdowns!$A$34:$A$38,0)),""),"")</f>
        <v/>
      </c>
      <c r="O35" s="298" t="str">
        <f>IF($J$12&lt;&gt;"Please select in data input sheet",IF(C35="x",INDEX(Dropdowns!$B$2:$D$9,MATCH($G$11,Dropdowns!$A$2:$A$9,0),MATCH($B35,Dropdowns!$B$1:$D$1,0))*'eDevices_general+behavior'!J232*INDEX(Dropdowns!$C$34:$C$38,MATCH($J$12,Dropdowns!$A$34:$A$38,0)),""),"")</f>
        <v/>
      </c>
      <c r="P35" s="298" t="str">
        <f>IF($J$12&lt;&gt;"Please select in data input sheet",IF(C35="x",INDEX(Dropdowns!$B$2:$D$9,MATCH($G$11,Dropdowns!$A$2:$A$9,0),MATCH($B35,Dropdowns!$B$1:$D$1,0))*'eDevices_general+behavior'!J151,""),"")</f>
        <v/>
      </c>
      <c r="Q35" s="309" t="str">
        <f>IF($J$12&lt;&gt;"Please select in data input sheet",IF(C35="x",INDEX(Dropdowns!$B$2:$D$9,MATCH($G$11,Dropdowns!$A$2:$A$9,0),MATCH($B35,Dropdowns!$B$1:$D$1,0))*'eDevices_general+behavior'!J178,""),"")</f>
        <v/>
      </c>
      <c r="R35" s="309" t="str">
        <f>IF($J$12&lt;&gt;"Please select in data input sheet",IF(C35="x",INDEX(Dropdowns!$B$2:$D$9,MATCH($G$11,Dropdowns!$A$2:$A$9,0),MATCH($B35,Dropdowns!$B$1:$D$1,0))*'eDevices_general+behavior'!J214,""),"")</f>
        <v/>
      </c>
    </row>
    <row r="36" spans="2:20" ht="26.1" customHeight="1" outlineLevel="1" x14ac:dyDescent="0.25">
      <c r="B36" s="304" t="s">
        <v>90</v>
      </c>
      <c r="C36" s="289"/>
      <c r="D36" s="297" t="s">
        <v>105</v>
      </c>
      <c r="E36" s="299"/>
      <c r="F36" s="299"/>
      <c r="G36" s="299"/>
      <c r="H36" s="299"/>
      <c r="I36" s="299" t="str">
        <f>IF($J$12&lt;&gt;"Please select in data input sheet",IF(C36="x",'eDevices_general+behavior'!J84,""),"")</f>
        <v/>
      </c>
      <c r="J36" s="301" t="str">
        <f t="shared" ref="J36:J41" si="3">IF($J$12&lt;&gt;"Please select in data input sheet",IF(C36="x","-",""),"")</f>
        <v/>
      </c>
      <c r="K36" s="299" t="str">
        <f>IF($J$12&lt;&gt;"Please select in data input sheet",IF(C36="x",'eDevices_general+behavior'!J93,""),"")</f>
        <v/>
      </c>
      <c r="L36" s="299" t="str">
        <f t="shared" ref="L36:L41" si="4">IF($J$12&lt;&gt;"Please select in data input sheet",IF(C36="x",0,""),"")</f>
        <v/>
      </c>
      <c r="M36" s="299" t="str">
        <f>IF($J$12&lt;&gt;"Please select in data input sheet",IF(C36="x",INDEX(Dropdowns!$B$2:$D$9,MATCH($G$11,Dropdowns!$A$2:$A$9,0),MATCH($B36,Dropdowns!$B$1:$D$1,0))*'eDevices_general+behavior'!J161,""),"")</f>
        <v/>
      </c>
      <c r="N36" s="299" t="str">
        <f>IF($J$12&lt;&gt;"Please select in data input sheet",IF(C36="x",INDEX(Dropdowns!$B$2:$D$9,MATCH($G$11,Dropdowns!$A$2:$A$9,0),MATCH($B36,Dropdowns!$B$1:$D$1,0))*'eDevices_general+behavior'!J197*INDEX(Dropdowns!$C$34:$C$38,MATCH($J$12,Dropdowns!$A$34:$A$38,0)),""),"")</f>
        <v/>
      </c>
      <c r="O36" s="299" t="str">
        <f>IF($J$12&lt;&gt;"Please select in data input sheet",IF(C36="x",INDEX(Dropdowns!$B$2:$D$9,MATCH($G$11,Dropdowns!$A$2:$A$9,0),MATCH($B36,Dropdowns!$B$1:$D$1,0))*'eDevices_general+behavior'!J233*INDEX(Dropdowns!$C$34:$C$38,MATCH($J$12,Dropdowns!$A$34:$A$38,0)),""),"")</f>
        <v/>
      </c>
      <c r="P36" s="299" t="str">
        <f>IF($J$12&lt;&gt;"Please select in data input sheet",IF(C36="x",INDEX(Dropdowns!$B$2:$D$9,MATCH($G$11,Dropdowns!$A$2:$A$9,0),MATCH($B36,Dropdowns!$B$1:$D$1,0))*'eDevices_general+behavior'!J152,""),"")</f>
        <v/>
      </c>
      <c r="Q36" s="310" t="str">
        <f>IF($J$12&lt;&gt;"Please select in data input sheet",IF(C36="x",INDEX(Dropdowns!$B$2:$D$9,MATCH($G$11,Dropdowns!$A$2:$A$9,0),MATCH($B36,Dropdowns!$B$1:$D$1,0))*'eDevices_general+behavior'!J179,""),"")</f>
        <v/>
      </c>
      <c r="R36" s="310" t="str">
        <f>IF($J$12&lt;&gt;"Please select in data input sheet",IF(C36="x",INDEX(Dropdowns!$B$2:$D$9,MATCH($G$11,Dropdowns!$A$2:$A$9,0),MATCH($B36,Dropdowns!$B$1:$D$1,0))*'eDevices_general+behavior'!J215,""),"")</f>
        <v/>
      </c>
    </row>
    <row r="37" spans="2:20" ht="26.1" customHeight="1" outlineLevel="1" x14ac:dyDescent="0.25">
      <c r="B37" s="304" t="s">
        <v>90</v>
      </c>
      <c r="C37" s="289"/>
      <c r="D37" s="296" t="s">
        <v>106</v>
      </c>
      <c r="E37" s="298"/>
      <c r="F37" s="298"/>
      <c r="G37" s="298"/>
      <c r="H37" s="298"/>
      <c r="I37" s="298" t="str">
        <f>IF($J$12&lt;&gt;"Please select in data input sheet",IF(C37="x",'eDevices_general+behavior'!J85,""),"")</f>
        <v/>
      </c>
      <c r="J37" s="300" t="str">
        <f t="shared" si="3"/>
        <v/>
      </c>
      <c r="K37" s="298" t="str">
        <f>IF($J$12&lt;&gt;"Please select in data input sheet",IF(C37="x",'eDevices_general+behavior'!J94,""),"")</f>
        <v/>
      </c>
      <c r="L37" s="298" t="str">
        <f t="shared" si="4"/>
        <v/>
      </c>
      <c r="M37" s="298" t="str">
        <f>IF($J$12&lt;&gt;"Please select in data input sheet",IF(C37="x",INDEX(Dropdowns!$B$2:$D$9,MATCH($G$11,Dropdowns!$A$2:$A$9,0),MATCH($B37,Dropdowns!$B$1:$D$1,0))*'eDevices_general+behavior'!J162,""),"")</f>
        <v/>
      </c>
      <c r="N37" s="298" t="str">
        <f>IF($J$12&lt;&gt;"Please select in data input sheet",IF(C37="x",INDEX(Dropdowns!$B$2:$D$9,MATCH($G$11,Dropdowns!$A$2:$A$9,0),MATCH($B37,Dropdowns!$B$1:$D$1,0))*'eDevices_general+behavior'!J198*INDEX(Dropdowns!$C$34:$C$38,MATCH($J$12,Dropdowns!$A$34:$A$38,0)),""),"")</f>
        <v/>
      </c>
      <c r="O37" s="298" t="str">
        <f>IF($J$12&lt;&gt;"Please select in data input sheet",IF(C37="x",INDEX(Dropdowns!$B$2:$D$9,MATCH($G$11,Dropdowns!$A$2:$A$9,0),MATCH($B37,Dropdowns!$B$1:$D$1,0))*'eDevices_general+behavior'!J234*INDEX(Dropdowns!$C$34:$C$38,MATCH($J$12,Dropdowns!$A$34:$A$38,0)),""),"")</f>
        <v/>
      </c>
      <c r="P37" s="298" t="str">
        <f>IF($J$12&lt;&gt;"Please select in data input sheet",IF(C37="x",INDEX(Dropdowns!$B$2:$D$9,MATCH($G$11,Dropdowns!$A$2:$A$9,0),MATCH($B37,Dropdowns!$B$1:$D$1,0))*'eDevices_general+behavior'!J153,""),"")</f>
        <v/>
      </c>
      <c r="Q37" s="309" t="str">
        <f>IF($J$12&lt;&gt;"Please select in data input sheet",IF(C37="x",INDEX(Dropdowns!$B$2:$D$9,MATCH($G$11,Dropdowns!$A$2:$A$9,0),MATCH($B37,Dropdowns!$B$1:$D$1,0))*'eDevices_general+behavior'!J180,""),"")</f>
        <v/>
      </c>
      <c r="R37" s="309" t="str">
        <f>IF($J$12&lt;&gt;"Please select in data input sheet",IF(C37="x",INDEX(Dropdowns!$B$2:$D$9,MATCH($G$11,Dropdowns!$A$2:$A$9,0),MATCH($B37,Dropdowns!$B$1:$D$1,0))*'eDevices_general+behavior'!J216,""),"")</f>
        <v/>
      </c>
    </row>
    <row r="38" spans="2:20" ht="32.1" customHeight="1" outlineLevel="1" x14ac:dyDescent="0.25">
      <c r="B38" s="304" t="s">
        <v>90</v>
      </c>
      <c r="C38" s="289"/>
      <c r="D38" s="297" t="s">
        <v>107</v>
      </c>
      <c r="E38" s="299"/>
      <c r="F38" s="299"/>
      <c r="G38" s="299"/>
      <c r="H38" s="299"/>
      <c r="I38" s="299" t="str">
        <f>IF($J$12&lt;&gt;"Please select in data input sheet",IF(C38="x",'eDevices_general+behavior'!J86,""),"")</f>
        <v/>
      </c>
      <c r="J38" s="301" t="str">
        <f t="shared" si="3"/>
        <v/>
      </c>
      <c r="K38" s="299" t="str">
        <f>IF($J$12&lt;&gt;"Please select in data input sheet",IF(C38="x",'eDevices_general+behavior'!J95,""),"")</f>
        <v/>
      </c>
      <c r="L38" s="299" t="str">
        <f t="shared" si="4"/>
        <v/>
      </c>
      <c r="M38" s="299" t="str">
        <f>IF($J$12&lt;&gt;"Please select in data input sheet",IF(C38="x",INDEX(Dropdowns!$B$2:$D$9,MATCH($G$11,Dropdowns!$A$2:$A$9,0),MATCH($B38,Dropdowns!$B$1:$D$1,0))*'eDevices_general+behavior'!J163,""),"")</f>
        <v/>
      </c>
      <c r="N38" s="299" t="str">
        <f>IF($J$12&lt;&gt;"Please select in data input sheet",IF(C38="x",INDEX(Dropdowns!$B$2:$D$9,MATCH($G$11,Dropdowns!$A$2:$A$9,0),MATCH($B38,Dropdowns!$B$1:$D$1,0))*'eDevices_general+behavior'!J199*INDEX(Dropdowns!$C$34:$C$38,MATCH($J$12,Dropdowns!$A$34:$A$38,0)),""),"")</f>
        <v/>
      </c>
      <c r="O38" s="299" t="str">
        <f>IF($J$12&lt;&gt;"Please select in data input sheet",IF(C38="x",INDEX(Dropdowns!$B$2:$D$9,MATCH($G$11,Dropdowns!$A$2:$A$9,0),MATCH($B38,Dropdowns!$B$1:$D$1,0))*'eDevices_general+behavior'!J235*INDEX(Dropdowns!$C$34:$C$38,MATCH($J$12,Dropdowns!$A$34:$A$38,0)),""),"")</f>
        <v/>
      </c>
      <c r="P38" s="299" t="str">
        <f>IF($J$12&lt;&gt;"Please select in data input sheet",IF(C38="x",INDEX(Dropdowns!$B$2:$D$9,MATCH($G$11,Dropdowns!$A$2:$A$9,0),MATCH($B38,Dropdowns!$B$1:$D$1,0))*'eDevices_general+behavior'!J154,""),"")</f>
        <v/>
      </c>
      <c r="Q38" s="310" t="str">
        <f>IF($J$12&lt;&gt;"Please select in data input sheet",IF(C38="x",INDEX(Dropdowns!$B$2:$D$9,MATCH($G$11,Dropdowns!$A$2:$A$9,0),MATCH($B38,Dropdowns!$B$1:$D$1,0))*'eDevices_general+behavior'!J181,""),"")</f>
        <v/>
      </c>
      <c r="R38" s="310" t="str">
        <f>IF($J$12&lt;&gt;"Please select in data input sheet",IF(C38="x",INDEX(Dropdowns!$B$2:$D$9,MATCH($G$11,Dropdowns!$A$2:$A$9,0),MATCH($B38,Dropdowns!$B$1:$D$1,0))*'eDevices_general+behavior'!J217,""),"")</f>
        <v/>
      </c>
    </row>
    <row r="39" spans="2:20" ht="26.1" customHeight="1" outlineLevel="1" x14ac:dyDescent="0.25">
      <c r="B39" s="304" t="s">
        <v>90</v>
      </c>
      <c r="C39" s="289"/>
      <c r="D39" s="296" t="s">
        <v>108</v>
      </c>
      <c r="E39" s="298"/>
      <c r="F39" s="298"/>
      <c r="G39" s="298"/>
      <c r="H39" s="298"/>
      <c r="I39" s="298" t="str">
        <f>IF($J$12&lt;&gt;"Please select in data input sheet",IF(C39="x",'eDevices_general+behavior'!J87,""),"")</f>
        <v/>
      </c>
      <c r="J39" s="300" t="str">
        <f t="shared" si="3"/>
        <v/>
      </c>
      <c r="K39" s="298" t="str">
        <f>IF($J$12&lt;&gt;"Please select in data input sheet",IF(C39="x",'eDevices_general+behavior'!J96,""),"")</f>
        <v/>
      </c>
      <c r="L39" s="298" t="str">
        <f t="shared" si="4"/>
        <v/>
      </c>
      <c r="M39" s="298" t="str">
        <f>IF($J$12&lt;&gt;"Please select in data input sheet",IF(C39="x",INDEX(Dropdowns!$B$2:$D$9,MATCH($G$11,Dropdowns!$A$2:$A$9,0),MATCH($B39,Dropdowns!$B$1:$D$1,0))*'eDevices_general+behavior'!J164,""),"")</f>
        <v/>
      </c>
      <c r="N39" s="298" t="str">
        <f>IF($J$12&lt;&gt;"Please select in data input sheet",IF(C39="x",INDEX(Dropdowns!$B$2:$D$9,MATCH($G$11,Dropdowns!$A$2:$A$9,0),MATCH($B39,Dropdowns!$B$1:$D$1,0))*'eDevices_general+behavior'!J200*INDEX(Dropdowns!$C$34:$C$38,MATCH($J$12,Dropdowns!$A$34:$A$38,0)),""),"")</f>
        <v/>
      </c>
      <c r="O39" s="298" t="str">
        <f>IF($J$12&lt;&gt;"Please select in data input sheet",IF(C39="x",INDEX(Dropdowns!$B$2:$D$9,MATCH($G$11,Dropdowns!$A$2:$A$9,0),MATCH($B39,Dropdowns!$B$1:$D$1,0))*'eDevices_general+behavior'!J236*INDEX(Dropdowns!$C$34:$C$38,MATCH($J$12,Dropdowns!$A$34:$A$38,0)),""),"")</f>
        <v/>
      </c>
      <c r="P39" s="298" t="str">
        <f>IF($J$12&lt;&gt;"Please select in data input sheet",IF(C39="x",INDEX(Dropdowns!$B$2:$D$9,MATCH($G$11,Dropdowns!$A$2:$A$9,0),MATCH($B39,Dropdowns!$B$1:$D$1,0))*'eDevices_general+behavior'!J155,""),"")</f>
        <v/>
      </c>
      <c r="Q39" s="309" t="str">
        <f>IF($J$12&lt;&gt;"Please select in data input sheet",IF(C39="x",INDEX(Dropdowns!$B$2:$D$9,MATCH($G$11,Dropdowns!$A$2:$A$9,0),MATCH($B39,Dropdowns!$B$1:$D$1,0))*'eDevices_general+behavior'!J182,""),"")</f>
        <v/>
      </c>
      <c r="R39" s="309" t="str">
        <f>IF($J$12&lt;&gt;"Please select in data input sheet",IF(C39="x",INDEX(Dropdowns!$B$2:$D$9,MATCH($G$11,Dropdowns!$A$2:$A$9,0),MATCH($B39,Dropdowns!$B$1:$D$1,0))*'eDevices_general+behavior'!J218,""),"")</f>
        <v/>
      </c>
    </row>
    <row r="40" spans="2:20" ht="26.1" customHeight="1" outlineLevel="1" x14ac:dyDescent="0.25">
      <c r="B40" s="304" t="s">
        <v>90</v>
      </c>
      <c r="C40" s="289"/>
      <c r="D40" s="297" t="s">
        <v>109</v>
      </c>
      <c r="E40" s="299"/>
      <c r="F40" s="299"/>
      <c r="G40" s="299"/>
      <c r="H40" s="299"/>
      <c r="I40" s="299" t="str">
        <f>IF($J$12&lt;&gt;"Please select in data input sheet",IF(C40="x",'eDevices_general+behavior'!J88,""),"")</f>
        <v/>
      </c>
      <c r="J40" s="301" t="str">
        <f t="shared" si="3"/>
        <v/>
      </c>
      <c r="K40" s="299" t="str">
        <f>IF($J$12&lt;&gt;"Please select in data input sheet",IF(C40="x",'eDevices_general+behavior'!J97,""),"")</f>
        <v/>
      </c>
      <c r="L40" s="299" t="str">
        <f t="shared" si="4"/>
        <v/>
      </c>
      <c r="M40" s="299" t="str">
        <f>IF($J$12&lt;&gt;"Please select in data input sheet",IF(C40="x",INDEX(Dropdowns!$B$2:$D$9,MATCH($G$11,Dropdowns!$A$2:$A$9,0),MATCH($B40,Dropdowns!$B$1:$D$1,0))*'eDevices_general+behavior'!J165,""),"")</f>
        <v/>
      </c>
      <c r="N40" s="299" t="str">
        <f>IF($J$12&lt;&gt;"Please select in data input sheet",IF(C40="x",INDEX(Dropdowns!$B$2:$D$9,MATCH($G$11,Dropdowns!$A$2:$A$9,0),MATCH($B40,Dropdowns!$B$1:$D$1,0))*'eDevices_general+behavior'!J201*INDEX(Dropdowns!$C$34:$C$38,MATCH($J$12,Dropdowns!$A$34:$A$38,0)),""),"")</f>
        <v/>
      </c>
      <c r="O40" s="299" t="str">
        <f>IF($J$12&lt;&gt;"Please select in data input sheet",IF(C40="x",INDEX(Dropdowns!$B$2:$D$9,MATCH($G$11,Dropdowns!$A$2:$A$9,0),MATCH($B40,Dropdowns!$B$1:$D$1,0))*'eDevices_general+behavior'!J237*INDEX(Dropdowns!$C$34:$C$38,MATCH($J$12,Dropdowns!$A$34:$A$38,0)),""),"")</f>
        <v/>
      </c>
      <c r="P40" s="299" t="str">
        <f>IF($J$12&lt;&gt;"Please select in data input sheet",IF(C40="x",INDEX(Dropdowns!$B$2:$D$9,MATCH($G$11,Dropdowns!$A$2:$A$9,0),MATCH($B40,Dropdowns!$B$1:$D$1,0))*'eDevices_general+behavior'!J156,""),"")</f>
        <v/>
      </c>
      <c r="Q40" s="310" t="str">
        <f>IF($J$12&lt;&gt;"Please select in data input sheet",IF(C40="x",INDEX(Dropdowns!$B$2:$D$9,MATCH($G$11,Dropdowns!$A$2:$A$9,0),MATCH($B40,Dropdowns!$B$1:$D$1,0))*'eDevices_general+behavior'!J183,""),"")</f>
        <v/>
      </c>
      <c r="R40" s="310" t="str">
        <f>IF($J$12&lt;&gt;"Please select in data input sheet",IF(C40="x",INDEX(Dropdowns!$B$2:$D$9,MATCH($G$11,Dropdowns!$A$2:$A$9,0),MATCH($B40,Dropdowns!$B$1:$D$1,0))*'eDevices_general+behavior'!J219,""),"")</f>
        <v/>
      </c>
    </row>
    <row r="41" spans="2:20" ht="26.1" customHeight="1" outlineLevel="1" x14ac:dyDescent="0.25">
      <c r="B41" s="304" t="s">
        <v>90</v>
      </c>
      <c r="C41" s="289"/>
      <c r="D41" s="296" t="s">
        <v>110</v>
      </c>
      <c r="E41" s="298"/>
      <c r="F41" s="298"/>
      <c r="G41" s="298"/>
      <c r="H41" s="298"/>
      <c r="I41" s="298" t="str">
        <f>IF($J$12&lt;&gt;"Please select in data input sheet",IF(C41="x",'eDevices_general+behavior'!J89,""),"")</f>
        <v/>
      </c>
      <c r="J41" s="300" t="str">
        <f t="shared" si="3"/>
        <v/>
      </c>
      <c r="K41" s="298" t="str">
        <f>IF($J$12&lt;&gt;"Please select in data input sheet",IF(C41="x",'eDevices_general+behavior'!J98,""),"")</f>
        <v/>
      </c>
      <c r="L41" s="298" t="str">
        <f t="shared" si="4"/>
        <v/>
      </c>
      <c r="M41" s="298" t="str">
        <f>IF($J$12&lt;&gt;"Please select in data input sheet",IF(C41="x",INDEX(Dropdowns!$B$2:$D$9,MATCH($G$11,Dropdowns!$A$2:$A$9,0),MATCH($B41,Dropdowns!$B$1:$D$1,0))*'eDevices_general+behavior'!J166,""),"")</f>
        <v/>
      </c>
      <c r="N41" s="298" t="str">
        <f>IF($J$12&lt;&gt;"Please select in data input sheet",IF(C41="x",INDEX(Dropdowns!$B$2:$D$9,MATCH($G$11,Dropdowns!$A$2:$A$9,0),MATCH($B41,Dropdowns!$B$1:$D$1,0))*'eDevices_general+behavior'!J202*INDEX(Dropdowns!$C$34:$C$38,MATCH($J$12,Dropdowns!$A$34:$A$38,0)),""),"")</f>
        <v/>
      </c>
      <c r="O41" s="298" t="str">
        <f>IF($J$12&lt;&gt;"Please select in data input sheet",IF(C41="x",INDEX(Dropdowns!$B$2:$D$9,MATCH($G$11,Dropdowns!$A$2:$A$9,0),MATCH($B41,Dropdowns!$B$1:$D$1,0))*'eDevices_general+behavior'!J238*INDEX(Dropdowns!$C$34:$C$38,MATCH($J$12,Dropdowns!$A$34:$A$38,0)),""),"")</f>
        <v/>
      </c>
      <c r="P41" s="298" t="str">
        <f>IF($J$12&lt;&gt;"Please select in data input sheet",IF(C41="x",INDEX(Dropdowns!$B$2:$D$9,MATCH($G$11,Dropdowns!$A$2:$A$9,0),MATCH($B41,Dropdowns!$B$1:$D$1,0))*'eDevices_general+behavior'!J157,""),"")</f>
        <v/>
      </c>
      <c r="Q41" s="309" t="str">
        <f>IF($J$12&lt;&gt;"Please select in data input sheet",IF(C41="x",INDEX(Dropdowns!$B$2:$D$9,MATCH($G$11,Dropdowns!$A$2:$A$9,0),MATCH($B41,Dropdowns!$B$1:$D$1,0))*'eDevices_general+behavior'!J184,""),"")</f>
        <v/>
      </c>
      <c r="R41" s="309" t="str">
        <f>IF($J$12&lt;&gt;"Please select in data input sheet",IF(C41="x",INDEX(Dropdowns!$B$2:$D$9,MATCH($G$11,Dropdowns!$A$2:$A$9,0),MATCH($B41,Dropdowns!$B$1:$D$1,0))*'eDevices_general+behavior'!J220,""),"")</f>
        <v/>
      </c>
    </row>
    <row r="42" spans="2:20" ht="26.1" customHeight="1" outlineLevel="1" x14ac:dyDescent="0.25">
      <c r="B42" s="304" t="s">
        <v>92</v>
      </c>
      <c r="C42" s="289"/>
      <c r="D42" s="297" t="s">
        <v>111</v>
      </c>
      <c r="E42" s="299"/>
      <c r="F42" s="299"/>
      <c r="G42" s="299"/>
      <c r="H42" s="299"/>
      <c r="I42" s="299" t="str">
        <f>IF($J$12&lt;&gt;"Please select in data input sheet",IF(C42="x",eDevices_small_invest!K14,""),"")</f>
        <v/>
      </c>
      <c r="J42" s="301" t="str">
        <f>IF($J$12&lt;&gt;"Please select in data input sheet",IF(C42="x","unrefurbished: "&amp;eDevices_small_invest!O94&amp;", refurbished: "&amp;eDevices_small_invest!P94,""),"")</f>
        <v/>
      </c>
      <c r="K42" s="299" t="str">
        <f>IF($J$12&lt;&gt;"Please select in data input sheet",IF(C42="x",eDevices_small_invest!K80,""),"")</f>
        <v/>
      </c>
      <c r="L42" s="299" t="str">
        <f>IF($J$12&lt;&gt;"Please select in data input sheet",IF(C42="x",INDEX(Dropdowns!$B$2:$D$9,MATCH($G$11,Dropdowns!$A$2:$A$9,0),MATCH($B42,Dropdowns!$B$1:$D$1,0))*eDevices_small_invest!J129*INDEX(Dropdowns!$C$34:$C$38,MATCH($J$12,Dropdowns!$A$34:$A$38,0)),""),"")</f>
        <v/>
      </c>
      <c r="M42" s="299" t="str">
        <f>IF($J$12&lt;&gt;"Please select in data input sheet",IF(C42="x",INDEX(Dropdowns!$B$2:$D$9,MATCH($G$11,Dropdowns!$A$2:$A$9,0),MATCH($B42,Dropdowns!$B$1:$D$1,0))*eDevices_small_invest!J139,""),"")</f>
        <v/>
      </c>
      <c r="N42" s="299" t="str">
        <f>IF($J$12&lt;&gt;"Please select in data input sheet",IF(C42="x",INDEX(Dropdowns!$B$2:$D$9,MATCH($G$11,Dropdowns!$A$2:$A$9,0),MATCH($B42,Dropdowns!$B$1:$D$1,0))*eDevices_small_invest!J159*INDEX(Dropdowns!$C$34:$C$38,MATCH($J$12,Dropdowns!$A$34:$A$38,0)),""),"")</f>
        <v/>
      </c>
      <c r="O42" s="299" t="str">
        <f>IF($J$12&lt;&gt;"Please select in data input sheet",IF(C42="x",INDEX(Dropdowns!$B$2:$D$9,MATCH($G$11,Dropdowns!$A$2:$A$9,0),MATCH($B42,Dropdowns!$B$1:$D$1,0))*eDevices_small_invest!J179*INDEX(Dropdowns!$C$34:$C$38,MATCH($J$12,Dropdowns!$A$34:$A$38,0)),""),"")</f>
        <v/>
      </c>
      <c r="P42" s="299" t="str">
        <f>IF($J$12&lt;&gt;"Please select in data input sheet",IF(C42="x",INDEX(Dropdowns!$B$2:$D$9,MATCH($G$11,Dropdowns!$A$2:$A$9,0),MATCH($B42,Dropdowns!$B$1:$D$1,0))*eDevices_small_invest!J134,""),"")</f>
        <v/>
      </c>
      <c r="Q42" s="310" t="str">
        <f>IF($J$12&lt;&gt;"Please select in data input sheet",IF(C42="x",INDEX(Dropdowns!$B$2:$D$9,MATCH($G$11,Dropdowns!$A$2:$A$9,0),MATCH($B42,Dropdowns!$B$1:$D$1,0))*eDevices_small_invest!J149,""),"")</f>
        <v/>
      </c>
      <c r="R42" s="310" t="str">
        <f>IF($J$12&lt;&gt;"Please select in data input sheet",IF(C42="x",INDEX(Dropdowns!$B$2:$D$9,MATCH($G$11,Dropdowns!$A$2:$A$9,0),MATCH($B42,Dropdowns!$B$1:$D$1,0))*eDevices_small_invest!J169,""),"")</f>
        <v/>
      </c>
    </row>
    <row r="43" spans="2:20" ht="26.1" customHeight="1" outlineLevel="1" x14ac:dyDescent="0.25">
      <c r="B43" s="304" t="s">
        <v>92</v>
      </c>
      <c r="C43" s="289"/>
      <c r="D43" s="296" t="s">
        <v>112</v>
      </c>
      <c r="E43" s="298"/>
      <c r="F43" s="298"/>
      <c r="G43" s="298"/>
      <c r="H43" s="298"/>
      <c r="I43" s="298" t="str">
        <f>IF($J$12&lt;&gt;"Please select in data input sheet",IF(C43="x",eDevices_small_invest!K15,""),"")</f>
        <v/>
      </c>
      <c r="J43" s="300" t="str">
        <f>IF($J$12&lt;&gt;"Please select in data input sheet",IF(C43="x","unrefurbished: "&amp;eDevices_small_invest!O95&amp;", refurbished: "&amp;eDevices_small_invest!P95,""),"")</f>
        <v/>
      </c>
      <c r="K43" s="298" t="str">
        <f>IF($J$12&lt;&gt;"Please select in data input sheet",IF(C43="x",eDevices_small_invest!K81,""),"")</f>
        <v/>
      </c>
      <c r="L43" s="298" t="str">
        <f>IF($J$12&lt;&gt;"Please select in data input sheet",IF(C43="x",INDEX(Dropdowns!$B$2:$D$9,MATCH($G$11,Dropdowns!$A$2:$A$9,0),MATCH($B43,Dropdowns!$B$1:$D$1,0))*eDevices_small_invest!J130*INDEX(Dropdowns!$C$34:$C$38,MATCH($J$12,Dropdowns!$A$34:$A$38,0)),""),"")</f>
        <v/>
      </c>
      <c r="M43" s="298" t="str">
        <f>IF($J$12&lt;&gt;"Please select in data input sheet",IF(C43="x",INDEX(Dropdowns!$B$2:$D$9,MATCH($G$11,Dropdowns!$A$2:$A$9,0),MATCH($B43,Dropdowns!$B$1:$D$1,0))*eDevices_small_invest!J140,""),"")</f>
        <v/>
      </c>
      <c r="N43" s="298" t="str">
        <f>IF($J$12&lt;&gt;"Please select in data input sheet",IF(C43="x",INDEX(Dropdowns!$B$2:$D$9,MATCH($G$11,Dropdowns!$A$2:$A$9,0),MATCH($B43,Dropdowns!$B$1:$D$1,0))*eDevices_small_invest!J160*INDEX(Dropdowns!$C$34:$C$38,MATCH($J$12,Dropdowns!$A$34:$A$38,0)),""),"")</f>
        <v/>
      </c>
      <c r="O43" s="298" t="str">
        <f>IF($J$12&lt;&gt;"Please select in data input sheet",IF(C43="x",INDEX(Dropdowns!$B$2:$D$9,MATCH($G$11,Dropdowns!$A$2:$A$9,0),MATCH($B43,Dropdowns!$B$1:$D$1,0))*eDevices_small_invest!J180*INDEX(Dropdowns!$C$34:$C$38,MATCH($J$12,Dropdowns!$A$34:$A$38,0)),""),"")</f>
        <v/>
      </c>
      <c r="P43" s="298" t="str">
        <f>IF($J$12&lt;&gt;"Please select in data input sheet",IF(C43="x",INDEX(Dropdowns!$B$2:$D$9,MATCH($G$11,Dropdowns!$A$2:$A$9,0),MATCH($B43,Dropdowns!$B$1:$D$1,0))*eDevices_small_invest!J135,""),"")</f>
        <v/>
      </c>
      <c r="Q43" s="309" t="str">
        <f>IF($J$12&lt;&gt;"Please select in data input sheet",IF(C43="x",INDEX(Dropdowns!$B$2:$D$9,MATCH($G$11,Dropdowns!$A$2:$A$9,0),MATCH($B43,Dropdowns!$B$1:$D$1,0))*eDevices_small_invest!J150,""),"")</f>
        <v/>
      </c>
      <c r="R43" s="309" t="str">
        <f>IF($J$12&lt;&gt;"Please select in data input sheet",IF(C43="x",INDEX(Dropdowns!$B$2:$D$9,MATCH($G$11,Dropdowns!$A$2:$A$9,0),MATCH($B43,Dropdowns!$B$1:$D$1,0))*eDevices_small_invest!J170,""),"")</f>
        <v/>
      </c>
    </row>
    <row r="44" spans="2:20" ht="26.1" customHeight="1" outlineLevel="1" x14ac:dyDescent="0.25">
      <c r="B44" s="304" t="s">
        <v>92</v>
      </c>
      <c r="C44" s="289"/>
      <c r="D44" s="297" t="s">
        <v>113</v>
      </c>
      <c r="E44" s="299"/>
      <c r="F44" s="299"/>
      <c r="G44" s="299"/>
      <c r="H44" s="299"/>
      <c r="I44" s="299" t="str">
        <f>IF($J$12&lt;&gt;"Please select in data input sheet",IF(C44="x",eDevices_small_invest!K16,""),"")</f>
        <v/>
      </c>
      <c r="J44" s="301" t="str">
        <f>IF($J$12&lt;&gt;"Please select in data input sheet",IF(C44="x","unrefurbished: "&amp;eDevices_small_invest!O96&amp;", refurbished: "&amp;eDevices_small_invest!P96,""),"")</f>
        <v/>
      </c>
      <c r="K44" s="299" t="str">
        <f>IF($J$12&lt;&gt;"Please select in data input sheet",IF(C44="x",eDevices_small_invest!K82,""),"")</f>
        <v/>
      </c>
      <c r="L44" s="299" t="str">
        <f>IF($J$12&lt;&gt;"Please select in data input sheet",IF(C44="x",INDEX(Dropdowns!$B$2:$D$9,MATCH($G$11,Dropdowns!$A$2:$A$9,0),MATCH($B44,Dropdowns!$B$1:$D$1,0))*eDevices_small_invest!J131*INDEX(Dropdowns!$C$34:$C$38,MATCH($J$12,Dropdowns!$A$34:$A$38,0)),""),"")</f>
        <v/>
      </c>
      <c r="M44" s="299" t="str">
        <f>IF($J$12&lt;&gt;"Please select in data input sheet",IF(C44="x",INDEX(Dropdowns!$B$2:$D$9,MATCH($G$11,Dropdowns!$A$2:$A$9,0),MATCH($B44,Dropdowns!$B$1:$D$1,0))*eDevices_small_invest!J141,""),"")</f>
        <v/>
      </c>
      <c r="N44" s="299" t="str">
        <f>IF($J$12&lt;&gt;"Please select in data input sheet",IF(C44="x",INDEX(Dropdowns!$B$2:$D$9,MATCH($G$11,Dropdowns!$A$2:$A$9,0),MATCH($B44,Dropdowns!$B$1:$D$1,0))*eDevices_small_invest!J161*INDEX(Dropdowns!$C$34:$C$38,MATCH($J$12,Dropdowns!$A$34:$A$38,0)),""),"")</f>
        <v/>
      </c>
      <c r="O44" s="299" t="str">
        <f>IF($J$12&lt;&gt;"Please select in data input sheet",IF(C44="x",INDEX(Dropdowns!$B$2:$D$9,MATCH($G$11,Dropdowns!$A$2:$A$9,0),MATCH($B44,Dropdowns!$B$1:$D$1,0))*eDevices_small_invest!J181*INDEX(Dropdowns!$C$34:$C$38,MATCH($J$12,Dropdowns!$A$34:$A$38,0)),""),"")</f>
        <v/>
      </c>
      <c r="P44" s="299" t="str">
        <f>IF($J$12&lt;&gt;"Please select in data input sheet",IF(C44="x",INDEX(Dropdowns!$B$2:$D$9,MATCH($G$11,Dropdowns!$A$2:$A$9,0),MATCH($B44,Dropdowns!$B$1:$D$1,0))*eDevices_small_invest!J136,""),"")</f>
        <v/>
      </c>
      <c r="Q44" s="310" t="str">
        <f>IF($J$12&lt;&gt;"Please select in data input sheet",IF(C44="x",INDEX(Dropdowns!$B$2:$D$9,MATCH($G$11,Dropdowns!$A$2:$A$9,0),MATCH($B44,Dropdowns!$B$1:$D$1,0))*eDevices_small_invest!J151,""),"")</f>
        <v/>
      </c>
      <c r="R44" s="310" t="str">
        <f>IF($J$12&lt;&gt;"Please select in data input sheet",IF(C44="x",INDEX(Dropdowns!$B$2:$D$9,MATCH($G$11,Dropdowns!$A$2:$A$9,0),MATCH($B44,Dropdowns!$B$1:$D$1,0))*eDevices_small_invest!J171,""),"")</f>
        <v/>
      </c>
    </row>
    <row r="45" spans="2:20" ht="26.1" customHeight="1" outlineLevel="1" x14ac:dyDescent="0.25">
      <c r="B45" s="304" t="s">
        <v>95</v>
      </c>
      <c r="C45" s="289"/>
      <c r="D45" s="296" t="s">
        <v>114</v>
      </c>
      <c r="E45" s="298"/>
      <c r="F45" s="298"/>
      <c r="G45" s="298"/>
      <c r="H45" s="298"/>
      <c r="I45" s="298" t="str">
        <f>IF($J$12&lt;&gt;"Please select in data input sheet",IF(C45="x",eDevices_high_invest!K17,""),"")</f>
        <v/>
      </c>
      <c r="J45" s="300" t="str">
        <f>IF($J$12&lt;&gt;"Please select in data input sheet",IF(C45="x","unrefurbished: "&amp;eDevices_high_invest!O135&amp;", refurbished: "&amp;eDevices_high_invest!P135,""),"")</f>
        <v/>
      </c>
      <c r="K45" s="298" t="str">
        <f>IF($J$12&lt;&gt;"Please select in data input sheet",IF(C45="x",eDevices_high_invest!K115,""),"")</f>
        <v/>
      </c>
      <c r="L45" s="298" t="str">
        <f>IF($J$12&lt;&gt;"Please select in data input sheet",IF(C45="x",INDEX(Dropdowns!$B$2:$D$9,MATCH($G$11,Dropdowns!$A$2:$A$9,0),MATCH($B45,Dropdowns!$B$1:$D$1,0))*eDevices_high_invest!J188*INDEX(Dropdowns!$C$34:$C$38,MATCH($J$12,Dropdowns!$A$34:$A$38,0)),""),"")</f>
        <v/>
      </c>
      <c r="M45" s="298" t="str">
        <f>IF($J$12&lt;&gt;"Please select in data input sheet",IF(C45="x",INDEX(Dropdowns!$B$2:$D$9,MATCH($G$11,Dropdowns!$A$2:$A$9,0),MATCH($B45,Dropdowns!$B$1:$D$1,0))*eDevices_high_invest!J204,""),"")</f>
        <v/>
      </c>
      <c r="N45" s="298" t="str">
        <f>IF($J$12&lt;&gt;"Please select in data input sheet",IF(C45="x",INDEX(Dropdowns!$B$2:$D$9,MATCH($G$11,Dropdowns!$A$2:$A$9,0),MATCH($B45,Dropdowns!$B$1:$D$1,0))*eDevices_high_invest!J236*INDEX(Dropdowns!$C$34:$C$38,MATCH($J$12,Dropdowns!$A$34:$A$38,0)),""),"")</f>
        <v/>
      </c>
      <c r="O45" s="298" t="str">
        <f>IF($J$12&lt;&gt;"Please select in data input sheet",IF(C45="x",INDEX(Dropdowns!$B$2:$D$9,MATCH($G$11,Dropdowns!$A$2:$A$9,0),MATCH($B45,Dropdowns!$B$1:$D$1,0))*eDevices_high_invest!J268*INDEX(Dropdowns!$C$34:$C$38,MATCH($J$12,Dropdowns!$A$34:$A$38,0)),""),"")</f>
        <v/>
      </c>
      <c r="P45" s="298" t="str">
        <f>IF($J$12&lt;&gt;"Please select in data input sheet",IF(C45="x",INDEX(Dropdowns!$B$2:$D$9,MATCH($G$11,Dropdowns!$A$2:$A$9,0),MATCH($B45,Dropdowns!$B$1:$D$1,0))*eDevices_high_invest!J196,""),"")</f>
        <v/>
      </c>
      <c r="Q45" s="309" t="str">
        <f>IF($J$12&lt;&gt;"Please select in data input sheet",IF(C45="x",INDEX(Dropdowns!$B$2:$D$9,MATCH($G$11,Dropdowns!$A$2:$A$9,0),MATCH($B45,Dropdowns!$B$1:$D$1,0))*eDevices_high_invest!J220,""),"")</f>
        <v/>
      </c>
      <c r="R45" s="309" t="str">
        <f>IF($J$12&lt;&gt;"Please select in data input sheet",IF(C45="x",INDEX(Dropdowns!$B$2:$D$9,MATCH($G$11,Dropdowns!$A$2:$A$9,0),MATCH($B45,Dropdowns!$B$1:$D$1,0))*eDevices_high_invest!J252,""),"")</f>
        <v/>
      </c>
    </row>
    <row r="46" spans="2:20" ht="26.1" customHeight="1" outlineLevel="1" x14ac:dyDescent="0.25">
      <c r="B46" s="304" t="s">
        <v>95</v>
      </c>
      <c r="C46" s="289"/>
      <c r="D46" s="297" t="s">
        <v>115</v>
      </c>
      <c r="E46" s="299"/>
      <c r="F46" s="299"/>
      <c r="G46" s="299"/>
      <c r="H46" s="299"/>
      <c r="I46" s="299" t="str">
        <f>IF($J$12&lt;&gt;"Please select in data input sheet",IF(C46="x",eDevices_high_invest!K18,""),"")</f>
        <v/>
      </c>
      <c r="J46" s="301" t="str">
        <f>IF($J$12&lt;&gt;"Please select in data input sheet",IF(C46="x","unrefurbished: "&amp;eDevices_high_invest!O136&amp;", refurbished: "&amp;eDevices_high_invest!P136,""),"")</f>
        <v/>
      </c>
      <c r="K46" s="299" t="str">
        <f>IF($J$12&lt;&gt;"Please select in data input sheet",IF(C46="x",eDevices_high_invest!K116,""),"")</f>
        <v/>
      </c>
      <c r="L46" s="299" t="str">
        <f>IF($J$12&lt;&gt;"Please select in data input sheet",IF(C46="x",INDEX(Dropdowns!$B$2:$D$9,MATCH($G$11,Dropdowns!$A$2:$A$9,0),MATCH($B46,Dropdowns!$B$1:$D$1,0))*eDevices_high_invest!J189*INDEX(Dropdowns!$C$34:$C$38,MATCH($J$12,Dropdowns!$A$34:$A$38,0)),""),"")</f>
        <v/>
      </c>
      <c r="M46" s="299" t="str">
        <f>IF($J$12&lt;&gt;"Please select in data input sheet",IF(C46="x",INDEX(Dropdowns!$B$2:$D$9,MATCH($G$11,Dropdowns!$A$2:$A$9,0),MATCH($B46,Dropdowns!$B$1:$D$1,0))*eDevices_high_invest!J205,""),"")</f>
        <v/>
      </c>
      <c r="N46" s="299" t="str">
        <f>IF($J$12&lt;&gt;"Please select in data input sheet",IF(C46="x",INDEX(Dropdowns!$B$2:$D$9,MATCH($G$11,Dropdowns!$A$2:$A$9,0),MATCH($B46,Dropdowns!$B$1:$D$1,0))*eDevices_high_invest!J237*INDEX(Dropdowns!$C$34:$C$38,MATCH($J$12,Dropdowns!$A$34:$A$38,0)),""),"")</f>
        <v/>
      </c>
      <c r="O46" s="299" t="str">
        <f>IF($J$12&lt;&gt;"Please select in data input sheet",IF(C46="x",INDEX(Dropdowns!$B$2:$D$9,MATCH($G$11,Dropdowns!$A$2:$A$9,0),MATCH($B46,Dropdowns!$B$1:$D$1,0))*eDevices_high_invest!J269*INDEX(Dropdowns!$C$34:$C$38,MATCH($J$12,Dropdowns!$A$34:$A$38,0)),""),"")</f>
        <v/>
      </c>
      <c r="P46" s="299" t="str">
        <f>IF($J$12&lt;&gt;"Please select in data input sheet",IF(C46="x",INDEX(Dropdowns!$B$2:$D$9,MATCH($G$11,Dropdowns!$A$2:$A$9,0),MATCH($B46,Dropdowns!$B$1:$D$1,0))*eDevices_high_invest!J197,""),"")</f>
        <v/>
      </c>
      <c r="Q46" s="310" t="str">
        <f>IF($J$12&lt;&gt;"Please select in data input sheet",IF(C46="x",INDEX(Dropdowns!$B$2:$D$9,MATCH($G$11,Dropdowns!$A$2:$A$9,0),MATCH($B46,Dropdowns!$B$1:$D$1,0))*eDevices_high_invest!J221,""),"")</f>
        <v/>
      </c>
      <c r="R46" s="310" t="str">
        <f>IF($J$12&lt;&gt;"Please select in data input sheet",IF(C46="x",INDEX(Dropdowns!$B$2:$D$9,MATCH($G$11,Dropdowns!$A$2:$A$9,0),MATCH($B46,Dropdowns!$B$1:$D$1,0))*eDevices_high_invest!J253,""),"")</f>
        <v/>
      </c>
    </row>
    <row r="47" spans="2:20" ht="26.1" customHeight="1" outlineLevel="1" x14ac:dyDescent="0.25">
      <c r="B47" s="304" t="s">
        <v>95</v>
      </c>
      <c r="C47" s="289"/>
      <c r="D47" s="296" t="s">
        <v>116</v>
      </c>
      <c r="E47" s="298"/>
      <c r="F47" s="298"/>
      <c r="G47" s="298"/>
      <c r="H47" s="298"/>
      <c r="I47" s="298" t="str">
        <f>IF($J$12&lt;&gt;"Please select in data input sheet",IF(C47="x",eDevices_high_invest!K19,""),"")</f>
        <v/>
      </c>
      <c r="J47" s="300" t="str">
        <f>IF($J$12&lt;&gt;"Please select in data input sheet",IF(C47="x","unrefurbished: "&amp;eDevices_high_invest!O137&amp;", refurbished: "&amp;eDevices_high_invest!P137,""),"")</f>
        <v/>
      </c>
      <c r="K47" s="298" t="str">
        <f>IF($J$12&lt;&gt;"Please select in data input sheet",IF(C47="x",eDevices_high_invest!K117,""),"")</f>
        <v/>
      </c>
      <c r="L47" s="298" t="str">
        <f>IF($J$12&lt;&gt;"Please select in data input sheet",IF(C47="x",INDEX(Dropdowns!$B$2:$D$9,MATCH($G$11,Dropdowns!$A$2:$A$9,0),MATCH($B47,Dropdowns!$B$1:$D$1,0))*eDevices_high_invest!J190*INDEX(Dropdowns!$C$34:$C$38,MATCH($J$12,Dropdowns!$A$34:$A$38,0)),""),"")</f>
        <v/>
      </c>
      <c r="M47" s="298" t="str">
        <f>IF($J$12&lt;&gt;"Please select in data input sheet",IF(C47="x",INDEX(Dropdowns!$B$2:$D$9,MATCH($G$11,Dropdowns!$A$2:$A$9,0),MATCH($B47,Dropdowns!$B$1:$D$1,0))*eDevices_high_invest!J206,""),"")</f>
        <v/>
      </c>
      <c r="N47" s="298" t="str">
        <f>IF($J$12&lt;&gt;"Please select in data input sheet",IF(C47="x",INDEX(Dropdowns!$B$2:$D$9,MATCH($G$11,Dropdowns!$A$2:$A$9,0),MATCH($B47,Dropdowns!$B$1:$D$1,0))*eDevices_high_invest!J238*INDEX(Dropdowns!$C$34:$C$38,MATCH($J$12,Dropdowns!$A$34:$A$38,0)),""),"")</f>
        <v/>
      </c>
      <c r="O47" s="298" t="str">
        <f>IF($J$12&lt;&gt;"Please select in data input sheet",IF(C47="x",INDEX(Dropdowns!$B$2:$D$9,MATCH($G$11,Dropdowns!$A$2:$A$9,0),MATCH($B47,Dropdowns!$B$1:$D$1,0))*eDevices_high_invest!J270*INDEX(Dropdowns!$C$34:$C$38,MATCH($J$12,Dropdowns!$A$34:$A$38,0)),""),"")</f>
        <v/>
      </c>
      <c r="P47" s="298" t="str">
        <f>IF($J$12&lt;&gt;"Please select in data input sheet",IF(C47="x",INDEX(Dropdowns!$B$2:$D$9,MATCH($G$11,Dropdowns!$A$2:$A$9,0),MATCH($B47,Dropdowns!$B$1:$D$1,0))*eDevices_high_invest!J198,""),"")</f>
        <v/>
      </c>
      <c r="Q47" s="309" t="str">
        <f>IF($J$12&lt;&gt;"Please select in data input sheet",IF(C47="x",INDEX(Dropdowns!$B$2:$D$9,MATCH($G$11,Dropdowns!$A$2:$A$9,0),MATCH($B47,Dropdowns!$B$1:$D$1,0))*eDevices_high_invest!J222,""),"")</f>
        <v/>
      </c>
      <c r="R47" s="309" t="str">
        <f>IF($J$12&lt;&gt;"Please select in data input sheet",IF(C47="x",INDEX(Dropdowns!$B$2:$D$9,MATCH($G$11,Dropdowns!$A$2:$A$9,0),MATCH($B47,Dropdowns!$B$1:$D$1,0))*eDevices_high_invest!J254,""),"")</f>
        <v/>
      </c>
    </row>
    <row r="48" spans="2:20" ht="26.1" customHeight="1" outlineLevel="1" x14ac:dyDescent="0.25">
      <c r="B48" s="304" t="s">
        <v>95</v>
      </c>
      <c r="C48" s="289"/>
      <c r="D48" s="297" t="s">
        <v>117</v>
      </c>
      <c r="E48" s="299"/>
      <c r="F48" s="299"/>
      <c r="G48" s="299"/>
      <c r="H48" s="299"/>
      <c r="I48" s="299" t="str">
        <f>IF($J$12&lt;&gt;"Please select in data input sheet",IF(C48="x",eDevices_high_invest!K20,""),"")</f>
        <v/>
      </c>
      <c r="J48" s="301" t="str">
        <f>IF($J$12&lt;&gt;"Please select in data input sheet",IF(C48="x","unrefurbished: "&amp;eDevices_high_invest!O138&amp;", refurbished: "&amp;eDevices_high_invest!P138,""),"")</f>
        <v/>
      </c>
      <c r="K48" s="299" t="str">
        <f>IF($J$12&lt;&gt;"Please select in data input sheet",IF(C48="x",eDevices_high_invest!K118,""),"")</f>
        <v/>
      </c>
      <c r="L48" s="299" t="str">
        <f>IF($J$12&lt;&gt;"Please select in data input sheet",IF(C48="x",INDEX(Dropdowns!$B$2:$D$9,MATCH($G$11,Dropdowns!$A$2:$A$9,0),MATCH($B48,Dropdowns!$B$1:$D$1,0))*eDevices_high_invest!J191*INDEX(Dropdowns!$C$34:$C$38,MATCH($J$12,Dropdowns!$A$34:$A$38,0)),""),"")</f>
        <v/>
      </c>
      <c r="M48" s="299" t="str">
        <f>IF($J$12&lt;&gt;"Please select in data input sheet",IF(C48="x",INDEX(Dropdowns!$B$2:$D$9,MATCH($G$11,Dropdowns!$A$2:$A$9,0),MATCH($B48,Dropdowns!$B$1:$D$1,0))*eDevices_high_invest!J207,""),"")</f>
        <v/>
      </c>
      <c r="N48" s="299" t="str">
        <f>IF($J$12&lt;&gt;"Please select in data input sheet",IF(C48="x",INDEX(Dropdowns!$B$2:$D$9,MATCH($G$11,Dropdowns!$A$2:$A$9,0),MATCH($B48,Dropdowns!$B$1:$D$1,0))*eDevices_high_invest!J239*INDEX(Dropdowns!$C$34:$C$38,MATCH($J$12,Dropdowns!$A$34:$A$38,0)),""),"")</f>
        <v/>
      </c>
      <c r="O48" s="299" t="str">
        <f>IF($J$12&lt;&gt;"Please select in data input sheet",IF(C48="x",INDEX(Dropdowns!$B$2:$D$9,MATCH($G$11,Dropdowns!$A$2:$A$9,0),MATCH($B48,Dropdowns!$B$1:$D$1,0))*eDevices_high_invest!J271*INDEX(Dropdowns!$C$34:$C$38,MATCH($J$12,Dropdowns!$A$34:$A$38,0)),""),"")</f>
        <v/>
      </c>
      <c r="P48" s="299" t="str">
        <f>IF($J$12&lt;&gt;"Please select in data input sheet",IF(C48="x",INDEX(Dropdowns!$B$2:$D$9,MATCH($G$11,Dropdowns!$A$2:$A$9,0),MATCH($B48,Dropdowns!$B$1:$D$1,0))*eDevices_high_invest!J199,""),"")</f>
        <v/>
      </c>
      <c r="Q48" s="310" t="str">
        <f>IF($J$12&lt;&gt;"Please select in data input sheet",IF(C48="x",INDEX(Dropdowns!$B$2:$D$9,MATCH($G$11,Dropdowns!$A$2:$A$9,0),MATCH($B48,Dropdowns!$B$1:$D$1,0))*eDevices_high_invest!J223,""),"")</f>
        <v/>
      </c>
      <c r="R48" s="310" t="str">
        <f>IF($J$12&lt;&gt;"Please select in data input sheet",IF(C48="x",INDEX(Dropdowns!$B$2:$D$9,MATCH($G$11,Dropdowns!$A$2:$A$9,0),MATCH($B48,Dropdowns!$B$1:$D$1,0))*eDevices_high_invest!J255,""),"")</f>
        <v/>
      </c>
    </row>
    <row r="49" spans="2:18" ht="26.1" customHeight="1" outlineLevel="1" x14ac:dyDescent="0.25">
      <c r="B49" s="304" t="s">
        <v>95</v>
      </c>
      <c r="C49" s="289"/>
      <c r="D49" s="296" t="s">
        <v>118</v>
      </c>
      <c r="E49" s="298"/>
      <c r="F49" s="298"/>
      <c r="G49" s="298"/>
      <c r="H49" s="298"/>
      <c r="I49" s="298" t="str">
        <f>IF($J$12&lt;&gt;"Please select in data input sheet",IF(C49="x",eDevices_high_invest!K21,""),"")</f>
        <v/>
      </c>
      <c r="J49" s="300" t="str">
        <f>IF($J$12&lt;&gt;"Please select in data input sheet",IF(C49="x","unrefurbished: "&amp;eDevices_high_invest!O139&amp;", refurbished: "&amp;eDevices_high_invest!P139,""),"")</f>
        <v/>
      </c>
      <c r="K49" s="298" t="str">
        <f>IF($J$12&lt;&gt;"Please select in data input sheet",IF(C49="x",eDevices_high_invest!K119,""),"")</f>
        <v/>
      </c>
      <c r="L49" s="298" t="str">
        <f>IF($J$12&lt;&gt;"Please select in data input sheet",IF(C49="x",INDEX(Dropdowns!$B$2:$D$9,MATCH($G$11,Dropdowns!$A$2:$A$9,0),MATCH($B49,Dropdowns!$B$1:$D$1,0))*eDevices_high_invest!J192*INDEX(Dropdowns!$C$34:$C$38,MATCH($J$12,Dropdowns!$A$34:$A$38,0)),""),"")</f>
        <v/>
      </c>
      <c r="M49" s="298" t="str">
        <f>IF($J$12&lt;&gt;"Please select in data input sheet",IF(C49="x",INDEX(Dropdowns!$B$2:$D$9,MATCH($G$11,Dropdowns!$A$2:$A$9,0),MATCH($B49,Dropdowns!$B$1:$D$1,0))*eDevices_high_invest!J208,""),"")</f>
        <v/>
      </c>
      <c r="N49" s="298" t="str">
        <f>IF($J$12&lt;&gt;"Please select in data input sheet",IF(C49="x",INDEX(Dropdowns!$B$2:$D$9,MATCH($G$11,Dropdowns!$A$2:$A$9,0),MATCH($B49,Dropdowns!$B$1:$D$1,0))*eDevices_high_invest!J240*INDEX(Dropdowns!$C$34:$C$38,MATCH($J$12,Dropdowns!$A$34:$A$38,0)),""),"")</f>
        <v/>
      </c>
      <c r="O49" s="298" t="str">
        <f>IF($J$12&lt;&gt;"Please select in data input sheet",IF(C49="x",INDEX(Dropdowns!$B$2:$D$9,MATCH($G$11,Dropdowns!$A$2:$A$9,0),MATCH($B49,Dropdowns!$B$1:$D$1,0))*eDevices_high_invest!J272*INDEX(Dropdowns!$C$34:$C$38,MATCH($J$12,Dropdowns!$A$34:$A$38,0)),""),"")</f>
        <v/>
      </c>
      <c r="P49" s="298" t="str">
        <f>IF($J$12&lt;&gt;"Please select in data input sheet",IF(C49="x",INDEX(Dropdowns!$B$2:$D$9,MATCH($G$11,Dropdowns!$A$2:$A$9,0),MATCH($B49,Dropdowns!$B$1:$D$1,0))*eDevices_high_invest!J200,""),"")</f>
        <v/>
      </c>
      <c r="Q49" s="309" t="str">
        <f>IF($J$12&lt;&gt;"Please select in data input sheet",IF(C49="x",INDEX(Dropdowns!$B$2:$D$9,MATCH($G$11,Dropdowns!$A$2:$A$9,0),MATCH($B49,Dropdowns!$B$1:$D$1,0))*eDevices_high_invest!J224,""),"")</f>
        <v/>
      </c>
      <c r="R49" s="309" t="str">
        <f>IF($J$12&lt;&gt;"Please select in data input sheet",IF(C49="x",INDEX(Dropdowns!$B$2:$D$9,MATCH($G$11,Dropdowns!$A$2:$A$9,0),MATCH($B49,Dropdowns!$B$1:$D$1,0))*eDevices_high_invest!J256,""),"")</f>
        <v/>
      </c>
    </row>
    <row r="50" spans="2:18" ht="26.1" customHeight="1" outlineLevel="1" x14ac:dyDescent="0.25">
      <c r="B50" s="304" t="s">
        <v>95</v>
      </c>
      <c r="C50" s="289"/>
      <c r="D50" s="297" t="s">
        <v>119</v>
      </c>
      <c r="E50" s="299"/>
      <c r="F50" s="299"/>
      <c r="G50" s="299"/>
      <c r="H50" s="299"/>
      <c r="I50" s="299" t="str">
        <f>IF($J$12&lt;&gt;"Please select in data input sheet",IF(C50="x",eDevices_high_invest!K22,""),"")</f>
        <v/>
      </c>
      <c r="J50" s="301" t="str">
        <f>IF($J$12&lt;&gt;"Please select in data input sheet",IF(C50="x","unrefurbished: "&amp;eDevices_high_invest!O140&amp;", refurbished: "&amp;eDevices_high_invest!P140,""),"")</f>
        <v/>
      </c>
      <c r="K50" s="299" t="str">
        <f>IF($J$12&lt;&gt;"Please select in data input sheet",IF(C50="x",eDevices_high_invest!K120,""),"")</f>
        <v/>
      </c>
      <c r="L50" s="299" t="str">
        <f>IF($J$12&lt;&gt;"Please select in data input sheet",IF(C50="x",INDEX(Dropdowns!$B$2:$D$9,MATCH($G$11,Dropdowns!$A$2:$A$9,0),MATCH($B50,Dropdowns!$B$1:$D$1,0))*eDevices_high_invest!J193*INDEX(Dropdowns!$C$34:$C$38,MATCH($J$12,Dropdowns!$A$34:$A$38,0)),""),"")</f>
        <v/>
      </c>
      <c r="M50" s="299" t="str">
        <f>IF($J$12&lt;&gt;"Please select in data input sheet",IF(C50="x",INDEX(Dropdowns!$B$2:$D$9,MATCH($G$11,Dropdowns!$A$2:$A$9,0),MATCH($B50,Dropdowns!$B$1:$D$1,0))*eDevices_high_invest!J209,""),"")</f>
        <v/>
      </c>
      <c r="N50" s="299" t="str">
        <f>IF($J$12&lt;&gt;"Please select in data input sheet",IF(C50="x",INDEX(Dropdowns!$B$2:$D$9,MATCH($G$11,Dropdowns!$A$2:$A$9,0),MATCH($B50,Dropdowns!$B$1:$D$1,0))*eDevices_high_invest!J241*INDEX(Dropdowns!$C$34:$C$38,MATCH($J$12,Dropdowns!$A$34:$A$38,0)),""),"")</f>
        <v/>
      </c>
      <c r="O50" s="299" t="str">
        <f>IF($J$12&lt;&gt;"Please select in data input sheet",IF(C50="x",INDEX(Dropdowns!$B$2:$D$9,MATCH($G$11,Dropdowns!$A$2:$A$9,0),MATCH($B50,Dropdowns!$B$1:$D$1,0))*eDevices_high_invest!J273*INDEX(Dropdowns!$C$34:$C$38,MATCH($J$12,Dropdowns!$A$34:$A$38,0)),""),"")</f>
        <v/>
      </c>
      <c r="P50" s="299" t="str">
        <f>IF($J$12&lt;&gt;"Please select in data input sheet",IF(C50="x",INDEX(Dropdowns!$B$2:$D$9,MATCH($G$11,Dropdowns!$A$2:$A$9,0),MATCH($B50,Dropdowns!$B$1:$D$1,0))*eDevices_high_invest!J201,""),"")</f>
        <v/>
      </c>
      <c r="Q50" s="310" t="str">
        <f>IF($J$12&lt;&gt;"Please select in data input sheet",IF(C50="x",INDEX(Dropdowns!$B$2:$D$9,MATCH($G$11,Dropdowns!$A$2:$A$9,0),MATCH($B50,Dropdowns!$B$1:$D$1,0))*eDevices_high_invest!J225,""),"")</f>
        <v/>
      </c>
      <c r="R50" s="310" t="str">
        <f>IF($J$12&lt;&gt;"Please select in data input sheet",IF(C50="x",INDEX(Dropdowns!$B$2:$D$9,MATCH($G$11,Dropdowns!$A$2:$A$9,0),MATCH($B50,Dropdowns!$B$1:$D$1,0))*eDevices_high_invest!J257,""),"")</f>
        <v/>
      </c>
    </row>
    <row r="51" spans="2:18" x14ac:dyDescent="0.25">
      <c r="C51" s="275"/>
      <c r="D51" s="275"/>
      <c r="E51" s="275"/>
      <c r="F51" s="275"/>
      <c r="G51" s="275"/>
      <c r="H51" s="275"/>
      <c r="I51" s="275"/>
      <c r="J51" s="275"/>
      <c r="K51" s="275"/>
      <c r="L51" s="275"/>
      <c r="M51" s="275"/>
      <c r="N51" s="275"/>
      <c r="O51" s="275"/>
      <c r="P51" s="275"/>
      <c r="Q51" s="275"/>
      <c r="R51" s="276"/>
    </row>
    <row r="52" spans="2:18" ht="26.1" customHeight="1" x14ac:dyDescent="0.25">
      <c r="C52" s="275"/>
      <c r="D52" s="325" t="s">
        <v>900</v>
      </c>
      <c r="E52" s="325"/>
      <c r="F52" s="325"/>
      <c r="G52" s="325"/>
      <c r="H52" s="325"/>
      <c r="I52" s="325"/>
      <c r="J52" s="325"/>
      <c r="K52" s="325"/>
      <c r="L52" s="325"/>
      <c r="M52" s="325"/>
      <c r="N52" s="325"/>
      <c r="O52" s="325"/>
      <c r="P52" s="325"/>
      <c r="Q52" s="325"/>
      <c r="R52" s="325"/>
    </row>
    <row r="53" spans="2:18" ht="26.1" customHeight="1" x14ac:dyDescent="0.25">
      <c r="C53" s="275"/>
      <c r="D53" s="325" t="s">
        <v>901</v>
      </c>
      <c r="E53" s="325"/>
      <c r="F53" s="325"/>
      <c r="G53" s="325"/>
      <c r="H53" s="325"/>
      <c r="I53" s="325"/>
      <c r="J53" s="325"/>
      <c r="K53" s="325"/>
      <c r="L53" s="325"/>
      <c r="M53" s="325"/>
      <c r="N53" s="325"/>
      <c r="O53" s="325"/>
      <c r="P53" s="325"/>
      <c r="Q53" s="325"/>
      <c r="R53" s="325"/>
    </row>
    <row r="54" spans="2:18" x14ac:dyDescent="0.25">
      <c r="C54" s="275"/>
      <c r="D54" s="275"/>
      <c r="E54" s="275"/>
      <c r="F54" s="275"/>
      <c r="G54" s="275"/>
      <c r="H54" s="275"/>
      <c r="I54" s="275"/>
      <c r="J54" s="275"/>
      <c r="K54" s="275"/>
      <c r="L54" s="275"/>
      <c r="M54" s="275"/>
      <c r="N54" s="275"/>
      <c r="O54" s="275"/>
      <c r="P54" s="275"/>
      <c r="Q54" s="275"/>
      <c r="R54" s="276"/>
    </row>
    <row r="55" spans="2:18" x14ac:dyDescent="0.25">
      <c r="C55" s="275"/>
      <c r="D55" s="275"/>
      <c r="E55" s="275"/>
      <c r="F55" s="275"/>
      <c r="G55" s="275"/>
      <c r="H55" s="275"/>
      <c r="I55" s="275"/>
      <c r="J55" s="275"/>
      <c r="K55" s="275"/>
      <c r="L55" s="275"/>
      <c r="M55" s="275"/>
      <c r="N55" s="275"/>
      <c r="O55" s="275"/>
      <c r="P55" s="275"/>
      <c r="Q55" s="275"/>
      <c r="R55" s="276"/>
    </row>
  </sheetData>
  <sheetProtection algorithmName="SHA-512" hashValue="KU2vSLcYB7ezfm+FmlK/hedWYWcYeR9Z5GYOpqaxO0MfPL7/2cIf1CoGxVN9h09zIqnCv3udSYJEs87tfJsolA==" saltValue="YOdTr2axXzQLRZjTmyPCpg==" spinCount="100000" sheet="1" objects="1" scenarios="1"/>
  <mergeCells count="20">
    <mergeCell ref="D53:R53"/>
    <mergeCell ref="C1:R1"/>
    <mergeCell ref="C7:R7"/>
    <mergeCell ref="C9:R9"/>
    <mergeCell ref="C14:R14"/>
    <mergeCell ref="C11:F11"/>
    <mergeCell ref="C12:F12"/>
    <mergeCell ref="C3:R3"/>
    <mergeCell ref="I34:K34"/>
    <mergeCell ref="I20:K20"/>
    <mergeCell ref="I26:K26"/>
    <mergeCell ref="L20:R20"/>
    <mergeCell ref="L26:R26"/>
    <mergeCell ref="L34:R34"/>
    <mergeCell ref="C16:H16"/>
    <mergeCell ref="C19:H19"/>
    <mergeCell ref="C25:H25"/>
    <mergeCell ref="C33:H33"/>
    <mergeCell ref="C5:R5"/>
    <mergeCell ref="D52:R52"/>
  </mergeCells>
  <conditionalFormatting sqref="I17:I18">
    <cfRule type="containsText" dxfId="2" priority="2" operator="containsText" text="NO">
      <formula>NOT(ISERROR(SEARCH("NO",I17)))</formula>
    </cfRule>
    <cfRule type="containsText" dxfId="1" priority="3" operator="containsText" text="YES">
      <formula>NOT(ISERROR(SEARCH("YES",I17)))</formula>
    </cfRule>
  </conditionalFormatting>
  <conditionalFormatting sqref="J12">
    <cfRule type="containsText" dxfId="0" priority="1" operator="containsText" text="Please select in data input sheet">
      <formula>NOT(ISERROR(SEARCH("Please select in data input sheet",J12)))</formula>
    </cfRule>
  </conditionalFormatting>
  <hyperlinks>
    <hyperlink ref="C5:R5" r:id="rId1" display="Helpful resources for running campaigns can be found on the SaveEnergyTogether resource hub: www.climatealliance.org/saveenergytogether-online-hub/saveenergytogether-municipality-resources" xr:uid="{19DD6982-218D-4F7B-BAFE-24DAD6B4833D}"/>
  </hyperlinks>
  <pageMargins left="0.7" right="0.7" top="0.78740157499999996" bottom="0.78740157499999996"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5BF9109B-2ECB-44A9-AAFE-6C0E274E3B74}">
          <x14:formula1>
            <xm:f>Dropdowns!$A$2:$A$9</xm:f>
          </x14:formula1>
          <xm:sqref>G11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1CD14-3E4E-49EA-A0F0-143A0D860466}">
  <dimension ref="A1:K39"/>
  <sheetViews>
    <sheetView zoomScaleNormal="100" workbookViewId="0"/>
  </sheetViews>
  <sheetFormatPr baseColWidth="10" defaultColWidth="11.42578125" defaultRowHeight="15" x14ac:dyDescent="0.25"/>
  <cols>
    <col min="1" max="1" width="43.28515625" bestFit="1" customWidth="1"/>
    <col min="7" max="7" width="16.5703125" customWidth="1"/>
  </cols>
  <sheetData>
    <row r="1" spans="1:7" x14ac:dyDescent="0.25">
      <c r="A1" s="2" t="s">
        <v>66</v>
      </c>
      <c r="B1" t="s">
        <v>90</v>
      </c>
      <c r="C1" t="s">
        <v>92</v>
      </c>
      <c r="D1" t="s">
        <v>95</v>
      </c>
    </row>
    <row r="2" spans="1:7" x14ac:dyDescent="0.25">
      <c r="A2" s="8" t="s">
        <v>67</v>
      </c>
      <c r="B2">
        <v>0</v>
      </c>
      <c r="C2">
        <v>0</v>
      </c>
      <c r="D2">
        <v>0</v>
      </c>
    </row>
    <row r="3" spans="1:7" x14ac:dyDescent="0.25">
      <c r="A3" t="s">
        <v>120</v>
      </c>
      <c r="B3">
        <v>0.32</v>
      </c>
      <c r="C3">
        <v>0.28999999999999998</v>
      </c>
      <c r="D3">
        <v>0.05</v>
      </c>
    </row>
    <row r="4" spans="1:7" x14ac:dyDescent="0.25">
      <c r="A4" t="s">
        <v>121</v>
      </c>
      <c r="B4">
        <v>0.32</v>
      </c>
      <c r="C4">
        <v>0.28999999999999998</v>
      </c>
      <c r="D4">
        <v>0.04</v>
      </c>
      <c r="F4" t="s">
        <v>122</v>
      </c>
    </row>
    <row r="5" spans="1:7" x14ac:dyDescent="0.25">
      <c r="A5" t="s">
        <v>123</v>
      </c>
      <c r="B5" s="13">
        <f>D5*$B$11</f>
        <v>2.4799999999999999E-2</v>
      </c>
      <c r="C5" s="13">
        <f>D5*$C$11</f>
        <v>2.2474999999999995E-2</v>
      </c>
      <c r="D5">
        <f>F5</f>
        <v>3.0999999999999999E-3</v>
      </c>
      <c r="F5">
        <v>3.0999999999999999E-3</v>
      </c>
      <c r="G5" t="s">
        <v>124</v>
      </c>
    </row>
    <row r="6" spans="1:7" x14ac:dyDescent="0.25">
      <c r="A6" t="s">
        <v>125</v>
      </c>
      <c r="B6" s="13">
        <f t="shared" ref="B6:B8" si="0">D6*$B$11</f>
        <v>4.6399999999999997E-2</v>
      </c>
      <c r="C6" s="13">
        <f t="shared" ref="C6:C8" si="1">D6*$C$11</f>
        <v>4.204999999999999E-2</v>
      </c>
      <c r="D6">
        <f t="shared" ref="D6:D8" si="2">F6</f>
        <v>5.7999999999999996E-3</v>
      </c>
      <c r="F6">
        <v>5.7999999999999996E-3</v>
      </c>
      <c r="G6" t="s">
        <v>126</v>
      </c>
    </row>
    <row r="7" spans="1:7" x14ac:dyDescent="0.25">
      <c r="A7" t="s">
        <v>127</v>
      </c>
      <c r="B7" s="13">
        <f t="shared" si="0"/>
        <v>2.4799999999999999E-2</v>
      </c>
      <c r="C7" s="13">
        <f t="shared" si="1"/>
        <v>2.2474999999999995E-2</v>
      </c>
      <c r="D7">
        <f t="shared" si="2"/>
        <v>3.0999999999999999E-3</v>
      </c>
      <c r="F7">
        <v>3.0999999999999999E-3</v>
      </c>
      <c r="G7" t="s">
        <v>124</v>
      </c>
    </row>
    <row r="8" spans="1:7" x14ac:dyDescent="0.25">
      <c r="A8" t="s">
        <v>128</v>
      </c>
      <c r="B8" s="13">
        <f t="shared" si="0"/>
        <v>3.2800000000000003E-2</v>
      </c>
      <c r="C8" s="13">
        <f t="shared" si="1"/>
        <v>2.9724999999999998E-2</v>
      </c>
      <c r="D8">
        <f t="shared" si="2"/>
        <v>4.1000000000000003E-3</v>
      </c>
      <c r="F8">
        <v>4.1000000000000003E-3</v>
      </c>
      <c r="G8" t="s">
        <v>129</v>
      </c>
    </row>
    <row r="9" spans="1:7" x14ac:dyDescent="0.25">
      <c r="A9" t="s">
        <v>130</v>
      </c>
      <c r="B9">
        <v>0.32</v>
      </c>
      <c r="C9">
        <v>0.28999999999999998</v>
      </c>
      <c r="D9">
        <v>0.04</v>
      </c>
    </row>
    <row r="11" spans="1:7" x14ac:dyDescent="0.25">
      <c r="B11">
        <f>B9/D9</f>
        <v>8</v>
      </c>
      <c r="C11">
        <f>C9/D9</f>
        <v>7.2499999999999991</v>
      </c>
    </row>
    <row r="13" spans="1:7" x14ac:dyDescent="0.25">
      <c r="A13" s="2" t="s">
        <v>131</v>
      </c>
      <c r="B13" t="s">
        <v>132</v>
      </c>
      <c r="C13" t="s">
        <v>133</v>
      </c>
    </row>
    <row r="14" spans="1:7" x14ac:dyDescent="0.25">
      <c r="A14" s="8" t="s">
        <v>26</v>
      </c>
      <c r="B14" s="175" t="s">
        <v>134</v>
      </c>
      <c r="C14" s="175" t="s">
        <v>134</v>
      </c>
      <c r="D14" s="175"/>
      <c r="E14" s="175"/>
    </row>
    <row r="15" spans="1:7" x14ac:dyDescent="0.25">
      <c r="A15" s="175" t="s">
        <v>135</v>
      </c>
      <c r="B15" s="175">
        <v>298</v>
      </c>
      <c r="C15" s="175">
        <v>250</v>
      </c>
      <c r="D15" s="175"/>
      <c r="E15" s="175"/>
    </row>
    <row r="16" spans="1:7" x14ac:dyDescent="0.25">
      <c r="A16" s="175" t="s">
        <v>136</v>
      </c>
      <c r="B16">
        <v>29</v>
      </c>
      <c r="C16" s="175">
        <v>101</v>
      </c>
      <c r="D16" s="175"/>
      <c r="E16" s="175"/>
    </row>
    <row r="17" spans="1:7" x14ac:dyDescent="0.25">
      <c r="A17" s="175" t="s">
        <v>137</v>
      </c>
      <c r="B17" s="175">
        <v>55</v>
      </c>
      <c r="C17" s="175">
        <v>120</v>
      </c>
      <c r="D17" s="175"/>
      <c r="E17" s="175"/>
    </row>
    <row r="18" spans="1:7" x14ac:dyDescent="0.25">
      <c r="A18" s="175" t="s">
        <v>138</v>
      </c>
      <c r="B18" s="175">
        <v>72</v>
      </c>
      <c r="C18" s="175">
        <v>238</v>
      </c>
      <c r="D18" s="175"/>
      <c r="E18" s="175"/>
    </row>
    <row r="19" spans="1:7" x14ac:dyDescent="0.25">
      <c r="A19" s="175" t="s">
        <v>139</v>
      </c>
      <c r="B19" s="175">
        <v>172</v>
      </c>
      <c r="C19" s="175">
        <v>245</v>
      </c>
    </row>
    <row r="21" spans="1:7" x14ac:dyDescent="0.25">
      <c r="A21" s="177" t="s">
        <v>140</v>
      </c>
    </row>
    <row r="22" spans="1:7" x14ac:dyDescent="0.25">
      <c r="A22" t="s">
        <v>71</v>
      </c>
      <c r="B22" t="s">
        <v>137</v>
      </c>
      <c r="C22" t="s">
        <v>135</v>
      </c>
      <c r="D22" t="s">
        <v>136</v>
      </c>
      <c r="E22" t="s">
        <v>138</v>
      </c>
      <c r="F22" t="s">
        <v>139</v>
      </c>
      <c r="G22" t="s">
        <v>32</v>
      </c>
    </row>
    <row r="23" spans="1:7" x14ac:dyDescent="0.25">
      <c r="A23" t="s">
        <v>33</v>
      </c>
      <c r="B23">
        <v>134</v>
      </c>
      <c r="C23">
        <v>120</v>
      </c>
      <c r="D23">
        <v>96</v>
      </c>
      <c r="E23">
        <v>130</v>
      </c>
      <c r="F23">
        <v>106</v>
      </c>
      <c r="G23" s="243" t="s">
        <v>34</v>
      </c>
    </row>
    <row r="24" spans="1:7" x14ac:dyDescent="0.25">
      <c r="A24" t="s">
        <v>15</v>
      </c>
      <c r="B24">
        <v>125</v>
      </c>
      <c r="C24">
        <v>120</v>
      </c>
      <c r="D24">
        <v>80</v>
      </c>
      <c r="E24">
        <v>100</v>
      </c>
      <c r="F24">
        <v>85</v>
      </c>
      <c r="G24" s="243" t="s">
        <v>141</v>
      </c>
    </row>
    <row r="25" spans="1:7" x14ac:dyDescent="0.25">
      <c r="A25" t="s">
        <v>16</v>
      </c>
      <c r="B25">
        <v>388</v>
      </c>
      <c r="C25">
        <v>377</v>
      </c>
      <c r="D25">
        <v>380</v>
      </c>
      <c r="E25">
        <v>380</v>
      </c>
      <c r="F25">
        <v>325</v>
      </c>
      <c r="G25" s="243" t="s">
        <v>36</v>
      </c>
    </row>
    <row r="26" spans="1:7" x14ac:dyDescent="0.25">
      <c r="A26" t="s">
        <v>17</v>
      </c>
      <c r="B26">
        <v>615</v>
      </c>
      <c r="C26">
        <v>615</v>
      </c>
      <c r="D26">
        <v>615</v>
      </c>
      <c r="E26">
        <v>615</v>
      </c>
      <c r="F26">
        <v>615</v>
      </c>
      <c r="G26" s="243" t="s">
        <v>36</v>
      </c>
    </row>
    <row r="27" spans="1:7" x14ac:dyDescent="0.25">
      <c r="A27" t="s">
        <v>18</v>
      </c>
      <c r="B27">
        <v>126</v>
      </c>
      <c r="C27">
        <v>109</v>
      </c>
      <c r="D27">
        <v>78</v>
      </c>
      <c r="E27">
        <v>92</v>
      </c>
      <c r="F27">
        <v>96</v>
      </c>
      <c r="G27" s="243" t="s">
        <v>37</v>
      </c>
    </row>
    <row r="28" spans="1:7" x14ac:dyDescent="0.25">
      <c r="A28" t="s">
        <v>19</v>
      </c>
      <c r="B28">
        <v>132</v>
      </c>
      <c r="C28">
        <v>112</v>
      </c>
      <c r="D28">
        <v>113</v>
      </c>
      <c r="E28">
        <v>176</v>
      </c>
      <c r="F28">
        <v>120</v>
      </c>
      <c r="G28" s="243" t="s">
        <v>37</v>
      </c>
    </row>
    <row r="29" spans="1:7" x14ac:dyDescent="0.25">
      <c r="A29" t="s">
        <v>20</v>
      </c>
      <c r="B29">
        <v>11.35</v>
      </c>
      <c r="C29">
        <v>11.31</v>
      </c>
      <c r="D29">
        <v>7.59</v>
      </c>
      <c r="E29">
        <v>11.32</v>
      </c>
      <c r="F29">
        <v>9.6</v>
      </c>
      <c r="G29" t="s">
        <v>38</v>
      </c>
    </row>
    <row r="30" spans="1:7" x14ac:dyDescent="0.25">
      <c r="A30" t="s">
        <v>39</v>
      </c>
      <c r="B30">
        <v>29.3</v>
      </c>
      <c r="C30">
        <v>38.69</v>
      </c>
      <c r="D30">
        <v>22.63</v>
      </c>
      <c r="E30">
        <v>27.73</v>
      </c>
      <c r="F30">
        <v>24.2</v>
      </c>
      <c r="G30" t="s">
        <v>38</v>
      </c>
    </row>
    <row r="32" spans="1:7" x14ac:dyDescent="0.25">
      <c r="A32" s="2" t="s">
        <v>142</v>
      </c>
    </row>
    <row r="33" spans="1:11" ht="30" x14ac:dyDescent="0.25">
      <c r="B33" s="245" t="s">
        <v>143</v>
      </c>
      <c r="C33" s="245" t="s">
        <v>144</v>
      </c>
    </row>
    <row r="34" spans="1:11" x14ac:dyDescent="0.25">
      <c r="A34" t="s">
        <v>137</v>
      </c>
      <c r="B34" s="245">
        <v>113</v>
      </c>
      <c r="C34">
        <f>B34/$B$34</f>
        <v>1</v>
      </c>
      <c r="I34" s="245"/>
      <c r="J34" s="245"/>
      <c r="K34" s="245"/>
    </row>
    <row r="35" spans="1:11" x14ac:dyDescent="0.25">
      <c r="A35" s="175" t="s">
        <v>135</v>
      </c>
      <c r="B35" s="245">
        <v>108.3</v>
      </c>
      <c r="C35" s="246">
        <f>B35/$B$34</f>
        <v>0.95840707964601768</v>
      </c>
      <c r="I35" s="245"/>
      <c r="J35" s="245"/>
      <c r="K35" s="245"/>
    </row>
    <row r="36" spans="1:11" x14ac:dyDescent="0.25">
      <c r="A36" s="175" t="s">
        <v>136</v>
      </c>
      <c r="B36" s="245">
        <v>82.8</v>
      </c>
      <c r="C36" s="246">
        <f t="shared" ref="C36:C38" si="3">B36/$B$34</f>
        <v>0.73274336283185837</v>
      </c>
      <c r="I36" s="245"/>
      <c r="J36" s="245"/>
      <c r="K36" s="245"/>
    </row>
    <row r="37" spans="1:11" x14ac:dyDescent="0.25">
      <c r="A37" s="175" t="s">
        <v>138</v>
      </c>
      <c r="B37" s="245">
        <v>86.6</v>
      </c>
      <c r="C37" s="246">
        <f t="shared" si="3"/>
        <v>0.76637168141592915</v>
      </c>
      <c r="I37" s="245"/>
      <c r="J37" s="245"/>
      <c r="K37" s="245"/>
    </row>
    <row r="38" spans="1:11" x14ac:dyDescent="0.25">
      <c r="A38" s="175" t="s">
        <v>139</v>
      </c>
      <c r="B38" s="245">
        <v>89.3</v>
      </c>
      <c r="C38" s="246">
        <f t="shared" si="3"/>
        <v>0.79026548672566366</v>
      </c>
      <c r="I38" s="245"/>
      <c r="J38" s="245"/>
      <c r="K38" s="245"/>
    </row>
    <row r="39" spans="1:11" x14ac:dyDescent="0.25">
      <c r="I39" s="245"/>
      <c r="J39" s="245"/>
      <c r="K39" s="245"/>
    </row>
  </sheetData>
  <sheetProtection algorithmName="SHA-512" hashValue="jUU2Y3quY7LBbp4LFy/rSR1NbwuJRCVRV2/V2dOpenIjNhwMapyPINLOPHCabm1LOM3AiqgWl5CMnDTbDHgXkQ==" saltValue="P95h7qIlzcN1wskq9lJLUw==" spinCount="100000" sheet="1" objects="1" scenarios="1"/>
  <pageMargins left="0.7" right="0.7" top="0.78740157499999996" bottom="0.78740157499999996"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B01DB-D1CE-49DD-A99F-22A9C9455772}">
  <sheetPr>
    <tabColor rgb="FF04E5EA"/>
  </sheetPr>
  <dimension ref="A2:W375"/>
  <sheetViews>
    <sheetView zoomScale="55" zoomScaleNormal="55" workbookViewId="0">
      <selection activeCell="T135" activeCellId="1" sqref="E131 T135"/>
    </sheetView>
  </sheetViews>
  <sheetFormatPr baseColWidth="10" defaultColWidth="8.85546875" defaultRowHeight="16.5" x14ac:dyDescent="0.3"/>
  <cols>
    <col min="1" max="1" width="4.5703125" style="17" customWidth="1"/>
    <col min="2" max="2" width="8.85546875" style="17"/>
    <col min="3" max="3" width="60.140625" style="17" customWidth="1"/>
    <col min="4" max="4" width="15.140625" style="17" customWidth="1"/>
    <col min="5" max="8" width="16" style="17" customWidth="1"/>
    <col min="9" max="9" width="10.5703125" style="17" customWidth="1"/>
    <col min="10" max="10" width="21.5703125" style="17" customWidth="1"/>
    <col min="11" max="12" width="8.85546875" style="17"/>
    <col min="13" max="13" width="9.85546875" style="17" customWidth="1"/>
    <col min="14" max="16384" width="8.85546875" style="17"/>
  </cols>
  <sheetData>
    <row r="2" spans="2:14" s="16" customFormat="1" ht="17.25" x14ac:dyDescent="0.3">
      <c r="C2" s="16" t="s">
        <v>145</v>
      </c>
      <c r="D2" s="16" t="s">
        <v>146</v>
      </c>
      <c r="L2" s="201"/>
    </row>
    <row r="3" spans="2:14" x14ac:dyDescent="0.3">
      <c r="L3" s="169"/>
    </row>
    <row r="4" spans="2:14" s="31" customFormat="1" ht="14.25" x14ac:dyDescent="0.25">
      <c r="B4" s="31" t="s">
        <v>147</v>
      </c>
    </row>
    <row r="5" spans="2:14" s="31" customFormat="1" ht="14.25" x14ac:dyDescent="0.25">
      <c r="B5" s="31" t="s">
        <v>148</v>
      </c>
    </row>
    <row r="6" spans="2:14" s="31" customFormat="1" ht="14.25" x14ac:dyDescent="0.25">
      <c r="B6" s="31" t="s">
        <v>149</v>
      </c>
    </row>
    <row r="7" spans="2:14" s="31" customFormat="1" ht="14.25" x14ac:dyDescent="0.25">
      <c r="B7" s="31" t="s">
        <v>150</v>
      </c>
    </row>
    <row r="8" spans="2:14" s="31" customFormat="1" ht="15" thickBot="1" x14ac:dyDescent="0.3">
      <c r="B8" s="31" t="s">
        <v>151</v>
      </c>
    </row>
    <row r="9" spans="2:14" ht="18" thickTop="1" thickBot="1" x14ac:dyDescent="0.35">
      <c r="B9" s="74"/>
      <c r="C9" s="75"/>
    </row>
    <row r="10" spans="2:14" ht="20.25" x14ac:dyDescent="0.35">
      <c r="B10" s="77"/>
      <c r="C10" s="73" t="s">
        <v>152</v>
      </c>
      <c r="D10" s="76"/>
    </row>
    <row r="11" spans="2:14" s="18" customFormat="1" ht="17.25" thickBot="1" x14ac:dyDescent="0.35">
      <c r="B11" s="19" t="s">
        <v>153</v>
      </c>
      <c r="C11" s="19" t="s">
        <v>154</v>
      </c>
      <c r="D11" s="19" t="s">
        <v>32</v>
      </c>
      <c r="E11" s="19" t="s">
        <v>155</v>
      </c>
      <c r="F11" s="19"/>
      <c r="G11" s="19" t="s">
        <v>155</v>
      </c>
      <c r="H11" s="19"/>
      <c r="I11" s="19"/>
      <c r="J11" s="56" t="s">
        <v>156</v>
      </c>
      <c r="K11" s="56"/>
    </row>
    <row r="12" spans="2:14" s="30" customFormat="1" ht="18" thickTop="1" thickBot="1" x14ac:dyDescent="0.35">
      <c r="B12" s="28"/>
      <c r="C12" s="29" t="s">
        <v>157</v>
      </c>
      <c r="D12" s="29"/>
      <c r="E12" s="335" t="s">
        <v>5</v>
      </c>
      <c r="F12" s="335"/>
      <c r="G12" s="335" t="s">
        <v>6</v>
      </c>
      <c r="H12" s="335"/>
      <c r="I12" s="28"/>
      <c r="J12" s="28"/>
      <c r="K12" s="57"/>
    </row>
    <row r="13" spans="2:14" ht="18" thickTop="1" thickBot="1" x14ac:dyDescent="0.35">
      <c r="B13" s="19"/>
      <c r="C13" s="29" t="s">
        <v>158</v>
      </c>
      <c r="D13" s="29"/>
      <c r="E13" s="29" t="s">
        <v>7</v>
      </c>
      <c r="F13" s="29" t="s">
        <v>8</v>
      </c>
      <c r="G13" s="29" t="s">
        <v>7</v>
      </c>
      <c r="H13" s="29" t="s">
        <v>8</v>
      </c>
      <c r="I13" s="19"/>
      <c r="J13" s="19"/>
      <c r="K13" s="56"/>
      <c r="M13" s="169"/>
    </row>
    <row r="14" spans="2:14" ht="17.25" thickTop="1" x14ac:dyDescent="0.3">
      <c r="B14" s="21">
        <v>1010</v>
      </c>
      <c r="C14" s="20" t="s">
        <v>159</v>
      </c>
      <c r="D14" s="15" t="s">
        <v>160</v>
      </c>
      <c r="E14" s="25">
        <f>'Data Input'!B10</f>
        <v>140</v>
      </c>
      <c r="F14" s="25">
        <f>'Data Input'!C10</f>
        <v>140</v>
      </c>
      <c r="G14" s="25">
        <f>'Data Input'!D10</f>
        <v>750</v>
      </c>
      <c r="H14" s="25">
        <f>'Data Input'!E10</f>
        <v>750</v>
      </c>
      <c r="I14" s="26"/>
      <c r="J14" s="26" t="s">
        <v>161</v>
      </c>
      <c r="K14" s="26"/>
      <c r="M14" s="169"/>
    </row>
    <row r="15" spans="2:14" x14ac:dyDescent="0.3">
      <c r="B15" s="21">
        <v>1011</v>
      </c>
      <c r="C15" s="20" t="s">
        <v>162</v>
      </c>
      <c r="D15" s="15" t="s">
        <v>160</v>
      </c>
      <c r="E15" s="25">
        <f>E14</f>
        <v>140</v>
      </c>
      <c r="F15" s="25">
        <f t="shared" ref="F15:H15" si="0">F14</f>
        <v>140</v>
      </c>
      <c r="G15" s="25">
        <f t="shared" si="0"/>
        <v>750</v>
      </c>
      <c r="H15" s="25">
        <f t="shared" si="0"/>
        <v>750</v>
      </c>
      <c r="I15" s="26"/>
      <c r="J15" s="26" t="s">
        <v>161</v>
      </c>
      <c r="K15" s="26"/>
      <c r="M15" s="169"/>
    </row>
    <row r="16" spans="2:14" x14ac:dyDescent="0.3">
      <c r="B16" s="21">
        <v>1012</v>
      </c>
      <c r="C16" s="14" t="s">
        <v>163</v>
      </c>
      <c r="D16" s="15" t="s">
        <v>160</v>
      </c>
      <c r="E16" s="25">
        <f>E15*0.8</f>
        <v>112</v>
      </c>
      <c r="F16" s="25">
        <f>F15*0.8</f>
        <v>112</v>
      </c>
      <c r="G16" s="25">
        <f>G15*0.8</f>
        <v>600</v>
      </c>
      <c r="H16" s="25">
        <f>H15*0.8</f>
        <v>600</v>
      </c>
      <c r="I16" s="26"/>
      <c r="J16" s="26" t="s">
        <v>164</v>
      </c>
      <c r="K16" s="26"/>
      <c r="L16" s="80"/>
      <c r="M16" s="80"/>
      <c r="N16" s="80"/>
    </row>
    <row r="17" spans="1:14" x14ac:dyDescent="0.3">
      <c r="B17" s="21">
        <v>1013</v>
      </c>
      <c r="C17" s="20" t="s">
        <v>165</v>
      </c>
      <c r="D17" s="15" t="s">
        <v>166</v>
      </c>
      <c r="E17" s="25">
        <v>2</v>
      </c>
      <c r="F17" s="25">
        <v>2</v>
      </c>
      <c r="G17" s="25">
        <v>4</v>
      </c>
      <c r="H17" s="25">
        <f>G17</f>
        <v>4</v>
      </c>
      <c r="I17" s="26"/>
      <c r="J17" s="26"/>
      <c r="K17" s="26"/>
    </row>
    <row r="18" spans="1:14" x14ac:dyDescent="0.3">
      <c r="B18" s="21">
        <v>1014</v>
      </c>
      <c r="C18" s="20" t="s">
        <v>167</v>
      </c>
      <c r="D18" s="15" t="s">
        <v>168</v>
      </c>
      <c r="E18" s="38">
        <v>2.8</v>
      </c>
      <c r="F18" s="38">
        <v>2.8</v>
      </c>
      <c r="G18" s="38">
        <v>3</v>
      </c>
      <c r="H18" s="38">
        <v>3</v>
      </c>
      <c r="I18" s="26"/>
      <c r="J18" s="26"/>
      <c r="K18" s="26"/>
    </row>
    <row r="19" spans="1:14" x14ac:dyDescent="0.3">
      <c r="B19" s="21">
        <v>1015</v>
      </c>
      <c r="C19" s="20" t="s">
        <v>169</v>
      </c>
      <c r="D19" s="15" t="s">
        <v>170</v>
      </c>
      <c r="E19" s="47">
        <f>E16*E18</f>
        <v>313.59999999999997</v>
      </c>
      <c r="F19" s="47">
        <f>F16*F18</f>
        <v>313.59999999999997</v>
      </c>
      <c r="G19" s="47">
        <f>G16*G18</f>
        <v>1800</v>
      </c>
      <c r="H19" s="47">
        <f>H16*H18</f>
        <v>1800</v>
      </c>
      <c r="I19" s="26"/>
      <c r="J19" s="26"/>
      <c r="K19" s="26"/>
    </row>
    <row r="20" spans="1:14" x14ac:dyDescent="0.3">
      <c r="B20" s="21">
        <v>1016</v>
      </c>
      <c r="C20" s="20" t="s">
        <v>171</v>
      </c>
      <c r="D20" s="15" t="s">
        <v>160</v>
      </c>
      <c r="E20" s="47">
        <f>E15/E17</f>
        <v>70</v>
      </c>
      <c r="F20" s="47">
        <f t="shared" ref="F20:H20" si="1">F15/F17</f>
        <v>70</v>
      </c>
      <c r="G20" s="47">
        <f>G15/G17</f>
        <v>187.5</v>
      </c>
      <c r="H20" s="47">
        <f t="shared" si="1"/>
        <v>187.5</v>
      </c>
      <c r="I20" s="26"/>
      <c r="J20" s="26"/>
      <c r="K20" s="26"/>
    </row>
    <row r="21" spans="1:14" x14ac:dyDescent="0.3">
      <c r="B21" s="21">
        <v>1017</v>
      </c>
      <c r="C21" s="15" t="s">
        <v>172</v>
      </c>
      <c r="D21" s="15" t="s">
        <v>166</v>
      </c>
      <c r="E21" s="25">
        <v>1</v>
      </c>
      <c r="F21" s="25">
        <v>1</v>
      </c>
      <c r="G21" s="25">
        <v>10</v>
      </c>
      <c r="H21" s="25">
        <v>10</v>
      </c>
      <c r="I21" s="26"/>
      <c r="J21" s="26"/>
      <c r="K21" s="26"/>
    </row>
    <row r="22" spans="1:14" x14ac:dyDescent="0.3">
      <c r="B22" s="21">
        <v>1017</v>
      </c>
      <c r="C22" s="15" t="s">
        <v>173</v>
      </c>
      <c r="D22" s="15" t="s">
        <v>166</v>
      </c>
      <c r="E22" s="47">
        <v>1</v>
      </c>
      <c r="F22" s="47">
        <v>1</v>
      </c>
      <c r="G22" s="50">
        <f>ROUNDUP(G21/G17,)</f>
        <v>3</v>
      </c>
      <c r="H22" s="50">
        <f>ROUNDUP(H21/H17,)</f>
        <v>3</v>
      </c>
      <c r="I22" s="26"/>
      <c r="J22" s="26"/>
      <c r="K22" s="26"/>
    </row>
    <row r="23" spans="1:14" x14ac:dyDescent="0.3">
      <c r="B23" s="21">
        <v>1018</v>
      </c>
      <c r="C23" s="14" t="s">
        <v>174</v>
      </c>
      <c r="D23" s="14" t="s">
        <v>166</v>
      </c>
      <c r="E23" s="25">
        <v>4</v>
      </c>
      <c r="F23" s="25">
        <v>4</v>
      </c>
      <c r="G23" s="25">
        <v>3</v>
      </c>
      <c r="H23" s="25">
        <v>3</v>
      </c>
      <c r="I23" s="26"/>
      <c r="J23" s="26"/>
      <c r="K23" s="26"/>
    </row>
    <row r="24" spans="1:14" ht="17.25" thickBot="1" x14ac:dyDescent="0.35">
      <c r="B24" s="21">
        <v>1019</v>
      </c>
      <c r="C24" s="14" t="s">
        <v>175</v>
      </c>
      <c r="D24" s="33" t="s">
        <v>160</v>
      </c>
      <c r="E24" s="34">
        <f>E15/E21</f>
        <v>140</v>
      </c>
      <c r="F24" s="34">
        <f>F15/F21</f>
        <v>140</v>
      </c>
      <c r="G24" s="34">
        <f>G15/G21</f>
        <v>75</v>
      </c>
      <c r="H24" s="34">
        <f>H15/H21</f>
        <v>75</v>
      </c>
    </row>
    <row r="25" spans="1:14" ht="18" thickTop="1" thickBot="1" x14ac:dyDescent="0.35">
      <c r="B25" s="74"/>
      <c r="C25" s="75"/>
    </row>
    <row r="26" spans="1:14" ht="20.25" x14ac:dyDescent="0.35">
      <c r="B26" s="77"/>
      <c r="C26" s="73" t="s">
        <v>176</v>
      </c>
      <c r="D26" s="76"/>
    </row>
    <row r="27" spans="1:14" s="18" customFormat="1" ht="17.25" thickBot="1" x14ac:dyDescent="0.35">
      <c r="A27" s="17"/>
      <c r="B27" s="19" t="s">
        <v>153</v>
      </c>
      <c r="C27" s="19" t="s">
        <v>154</v>
      </c>
      <c r="D27" s="19" t="s">
        <v>32</v>
      </c>
      <c r="E27" s="56" t="s">
        <v>177</v>
      </c>
      <c r="F27" s="19"/>
      <c r="G27" s="59" t="str">
        <f>E27</f>
        <v>Input Values &amp; interim results</v>
      </c>
      <c r="H27" s="19"/>
      <c r="I27" s="19"/>
      <c r="J27" s="56" t="s">
        <v>156</v>
      </c>
      <c r="K27" s="56"/>
    </row>
    <row r="28" spans="1:14" s="30" customFormat="1" ht="18" thickTop="1" thickBot="1" x14ac:dyDescent="0.35">
      <c r="A28" s="17"/>
      <c r="B28" s="28"/>
      <c r="C28" s="29" t="s">
        <v>157</v>
      </c>
      <c r="D28" s="29"/>
      <c r="E28" s="335" t="s">
        <v>5</v>
      </c>
      <c r="F28" s="335"/>
      <c r="G28" s="335" t="s">
        <v>6</v>
      </c>
      <c r="H28" s="335"/>
      <c r="I28" s="28"/>
      <c r="J28" s="28"/>
      <c r="K28" s="57"/>
    </row>
    <row r="29" spans="1:14" ht="18" thickTop="1" thickBot="1" x14ac:dyDescent="0.35">
      <c r="B29" s="19"/>
      <c r="C29" s="29" t="s">
        <v>158</v>
      </c>
      <c r="D29" s="29"/>
      <c r="E29" s="29" t="s">
        <v>7</v>
      </c>
      <c r="F29" s="29" t="s">
        <v>8</v>
      </c>
      <c r="G29" s="29" t="s">
        <v>7</v>
      </c>
      <c r="H29" s="29" t="s">
        <v>8</v>
      </c>
      <c r="I29" s="19"/>
      <c r="J29" s="19"/>
      <c r="K29" s="56"/>
    </row>
    <row r="30" spans="1:14" ht="17.25" thickTop="1" x14ac:dyDescent="0.3">
      <c r="C30" s="27" t="s">
        <v>178</v>
      </c>
      <c r="D30" s="32"/>
      <c r="E30" s="23"/>
      <c r="F30" s="24"/>
    </row>
    <row r="31" spans="1:14" x14ac:dyDescent="0.3">
      <c r="B31" s="21"/>
      <c r="C31" s="20" t="s">
        <v>179</v>
      </c>
      <c r="D31" s="15" t="s">
        <v>180</v>
      </c>
      <c r="E31" s="38">
        <f>'Data Input'!B11</f>
        <v>145</v>
      </c>
      <c r="F31" s="38">
        <f>'Data Input'!C11</f>
        <v>55</v>
      </c>
      <c r="G31" s="38">
        <f>'Data Input'!D11</f>
        <v>95</v>
      </c>
      <c r="H31" s="38">
        <f>'Data Input'!E11</f>
        <v>45</v>
      </c>
      <c r="I31" s="26"/>
      <c r="J31" s="26" t="s">
        <v>181</v>
      </c>
      <c r="K31" s="26"/>
      <c r="N31" s="6" t="s">
        <v>182</v>
      </c>
    </row>
    <row r="32" spans="1:14" ht="17.25" thickBot="1" x14ac:dyDescent="0.35">
      <c r="B32" s="21"/>
      <c r="C32" s="20" t="s">
        <v>183</v>
      </c>
      <c r="D32" s="46" t="s">
        <v>184</v>
      </c>
      <c r="E32" s="38">
        <v>20</v>
      </c>
      <c r="F32" s="79">
        <f>E32</f>
        <v>20</v>
      </c>
      <c r="G32" s="79">
        <f t="shared" ref="G32:H32" si="2">F32</f>
        <v>20</v>
      </c>
      <c r="H32" s="79">
        <f t="shared" si="2"/>
        <v>20</v>
      </c>
      <c r="I32" s="26"/>
      <c r="J32" s="26" t="s">
        <v>185</v>
      </c>
      <c r="K32" s="26"/>
    </row>
    <row r="33" spans="2:11" ht="18" thickTop="1" thickBot="1" x14ac:dyDescent="0.35">
      <c r="B33" s="21"/>
      <c r="C33" s="20" t="s">
        <v>186</v>
      </c>
      <c r="D33" s="46" t="s">
        <v>184</v>
      </c>
      <c r="E33" s="38">
        <v>9</v>
      </c>
      <c r="F33" s="79">
        <f>E33</f>
        <v>9</v>
      </c>
      <c r="G33" s="79">
        <f t="shared" ref="G33" si="3">F33</f>
        <v>9</v>
      </c>
      <c r="H33" s="79">
        <f t="shared" ref="H33" si="4">G33</f>
        <v>9</v>
      </c>
      <c r="I33" s="26"/>
      <c r="J33" s="26"/>
      <c r="K33" s="26"/>
    </row>
    <row r="34" spans="2:11" ht="18" thickTop="1" thickBot="1" x14ac:dyDescent="0.35">
      <c r="B34" s="21"/>
      <c r="C34" s="14" t="s">
        <v>187</v>
      </c>
      <c r="D34" s="33" t="s">
        <v>188</v>
      </c>
      <c r="E34" s="39">
        <v>0.1</v>
      </c>
      <c r="F34" s="40">
        <v>6.5000000000000002E-2</v>
      </c>
      <c r="G34" s="40">
        <v>0.13</v>
      </c>
      <c r="H34" s="40">
        <v>0.04</v>
      </c>
      <c r="J34" s="26" t="s">
        <v>189</v>
      </c>
    </row>
    <row r="35" spans="2:11" ht="17.25" thickTop="1" x14ac:dyDescent="0.3">
      <c r="B35" s="21"/>
      <c r="C35" s="36" t="s">
        <v>190</v>
      </c>
      <c r="D35" s="15" t="s">
        <v>191</v>
      </c>
      <c r="E35" s="42">
        <f>E$15/E$21*E$31/(1-E$34)</f>
        <v>22555.555555555555</v>
      </c>
      <c r="F35" s="42">
        <f t="shared" ref="F35:H35" si="5">F$15/F$21*F$31/(1-F$34)</f>
        <v>8235.2941176470576</v>
      </c>
      <c r="G35" s="42">
        <f t="shared" si="5"/>
        <v>8189.6551724137935</v>
      </c>
      <c r="H35" s="42">
        <f t="shared" si="5"/>
        <v>3515.625</v>
      </c>
      <c r="J35" s="26"/>
    </row>
    <row r="36" spans="2:11" ht="17.25" thickBot="1" x14ac:dyDescent="0.35">
      <c r="B36" s="21"/>
      <c r="C36" s="14" t="s">
        <v>187</v>
      </c>
      <c r="D36" s="15" t="s">
        <v>191</v>
      </c>
      <c r="E36" s="112">
        <f>E35*E34</f>
        <v>2255.5555555555557</v>
      </c>
      <c r="F36" s="112">
        <f>F35*F34</f>
        <v>535.29411764705878</v>
      </c>
      <c r="G36" s="112">
        <f>G35*G34</f>
        <v>1064.6551724137933</v>
      </c>
      <c r="H36" s="112">
        <f>H35*H34</f>
        <v>140.625</v>
      </c>
      <c r="J36" s="26"/>
    </row>
    <row r="37" spans="2:11" ht="17.25" thickTop="1" x14ac:dyDescent="0.3">
      <c r="C37" s="49" t="s">
        <v>192</v>
      </c>
      <c r="D37" s="22"/>
      <c r="E37" s="23"/>
      <c r="F37" s="24"/>
    </row>
    <row r="38" spans="2:11" x14ac:dyDescent="0.3">
      <c r="C38" s="20" t="s">
        <v>14</v>
      </c>
      <c r="D38" s="15" t="s">
        <v>188</v>
      </c>
      <c r="E38" s="37">
        <v>0.97</v>
      </c>
      <c r="F38" s="37">
        <v>0.98</v>
      </c>
      <c r="G38" s="37">
        <f>$E38</f>
        <v>0.97</v>
      </c>
      <c r="H38" s="37">
        <f>F38</f>
        <v>0.98</v>
      </c>
      <c r="J38" s="26"/>
    </row>
    <row r="39" spans="2:11" x14ac:dyDescent="0.3">
      <c r="C39" s="14" t="s">
        <v>15</v>
      </c>
      <c r="D39" s="15" t="s">
        <v>188</v>
      </c>
      <c r="E39" s="37">
        <v>0.65</v>
      </c>
      <c r="F39" s="37">
        <v>0.7</v>
      </c>
      <c r="G39" s="37">
        <v>0.67</v>
      </c>
      <c r="H39" s="37">
        <v>0.7</v>
      </c>
      <c r="J39" s="26"/>
    </row>
    <row r="40" spans="2:11" x14ac:dyDescent="0.3">
      <c r="C40" s="15" t="s">
        <v>16</v>
      </c>
      <c r="D40" s="15" t="s">
        <v>188</v>
      </c>
      <c r="E40" s="37">
        <v>0.8</v>
      </c>
      <c r="F40" s="37">
        <v>0.84</v>
      </c>
      <c r="G40" s="37">
        <v>0.82</v>
      </c>
      <c r="H40" s="37">
        <f>F40</f>
        <v>0.84</v>
      </c>
      <c r="J40" s="26"/>
    </row>
    <row r="41" spans="2:11" x14ac:dyDescent="0.3">
      <c r="C41" s="15" t="s">
        <v>17</v>
      </c>
      <c r="D41" s="15" t="s">
        <v>188</v>
      </c>
      <c r="E41" s="37">
        <v>0.65</v>
      </c>
      <c r="F41" s="37">
        <v>0.7</v>
      </c>
      <c r="G41" s="37">
        <v>0.65</v>
      </c>
      <c r="H41" s="37">
        <f t="shared" ref="H41:H44" si="6">F41</f>
        <v>0.7</v>
      </c>
      <c r="J41" s="26"/>
    </row>
    <row r="42" spans="2:11" x14ac:dyDescent="0.3">
      <c r="C42" s="15" t="s">
        <v>18</v>
      </c>
      <c r="D42" s="15" t="s">
        <v>188</v>
      </c>
      <c r="E42" s="37">
        <v>0.8</v>
      </c>
      <c r="F42" s="37">
        <v>0.85</v>
      </c>
      <c r="G42" s="37">
        <v>0.8</v>
      </c>
      <c r="H42" s="37">
        <f t="shared" si="6"/>
        <v>0.85</v>
      </c>
      <c r="J42" s="26"/>
    </row>
    <row r="43" spans="2:11" x14ac:dyDescent="0.3">
      <c r="C43" s="15" t="s">
        <v>19</v>
      </c>
      <c r="D43" s="15" t="s">
        <v>188</v>
      </c>
      <c r="E43" s="37">
        <v>0.8</v>
      </c>
      <c r="F43" s="37">
        <v>0.86</v>
      </c>
      <c r="G43" s="37">
        <v>0.8</v>
      </c>
      <c r="H43" s="37">
        <f t="shared" si="6"/>
        <v>0.86</v>
      </c>
      <c r="J43" s="26"/>
    </row>
    <row r="44" spans="2:11" ht="15.95" customHeight="1" x14ac:dyDescent="0.3">
      <c r="C44" s="14" t="s">
        <v>20</v>
      </c>
      <c r="D44" s="15" t="s">
        <v>188</v>
      </c>
      <c r="E44" s="37">
        <v>0.85</v>
      </c>
      <c r="F44" s="37">
        <v>0.87</v>
      </c>
      <c r="G44" s="37">
        <v>0.87</v>
      </c>
      <c r="H44" s="37">
        <f t="shared" si="6"/>
        <v>0.87</v>
      </c>
      <c r="J44" s="26"/>
    </row>
    <row r="45" spans="2:11" ht="15.95" customHeight="1" x14ac:dyDescent="0.3">
      <c r="C45" s="14" t="s">
        <v>21</v>
      </c>
      <c r="D45" s="15" t="s">
        <v>188</v>
      </c>
      <c r="E45" s="48">
        <v>1</v>
      </c>
      <c r="F45" s="41">
        <f>$E45</f>
        <v>1</v>
      </c>
      <c r="G45" s="41">
        <f>$E45</f>
        <v>1</v>
      </c>
      <c r="H45" s="41">
        <f>$E45</f>
        <v>1</v>
      </c>
      <c r="J45" s="26"/>
    </row>
    <row r="46" spans="2:11" ht="17.25" thickBot="1" x14ac:dyDescent="0.35">
      <c r="C46" s="14" t="s">
        <v>22</v>
      </c>
      <c r="D46" s="33" t="s">
        <v>193</v>
      </c>
      <c r="E46" s="53">
        <f>0.5*(63+273.15)/(63-5)</f>
        <v>2.8978448275862068</v>
      </c>
      <c r="F46" s="53">
        <f>0.48*(53+273.15)/(53-5)</f>
        <v>3.2614999999999998</v>
      </c>
      <c r="G46" s="53">
        <f>0.48*(53+273.15)/(53-5)</f>
        <v>3.2614999999999998</v>
      </c>
      <c r="H46" s="53">
        <f>0.47*(48+273.15)/(48-5)</f>
        <v>3.5102441860465112</v>
      </c>
      <c r="J46" s="26" t="s">
        <v>194</v>
      </c>
    </row>
    <row r="47" spans="2:11" ht="17.25" thickTop="1" x14ac:dyDescent="0.3">
      <c r="C47" s="27" t="s">
        <v>195</v>
      </c>
      <c r="D47" s="22"/>
      <c r="E47" s="23"/>
      <c r="F47" s="24"/>
    </row>
    <row r="48" spans="2:11" x14ac:dyDescent="0.3">
      <c r="C48" s="20" t="s">
        <v>14</v>
      </c>
      <c r="D48" s="15" t="s">
        <v>191</v>
      </c>
      <c r="E48" s="42">
        <f>E$15/E$21*E$31/(1-E$34)/E38</f>
        <v>23253.150057273768</v>
      </c>
      <c r="F48" s="42">
        <f t="shared" ref="E48:H56" si="7">F$15/F$21*F$31/(1-F$34)/F38</f>
        <v>8403.3613445378141</v>
      </c>
      <c r="G48" s="42">
        <f t="shared" si="7"/>
        <v>8442.9434767152507</v>
      </c>
      <c r="H48" s="42">
        <f t="shared" si="7"/>
        <v>3587.3724489795918</v>
      </c>
      <c r="J48" s="26"/>
    </row>
    <row r="49" spans="2:11" x14ac:dyDescent="0.3">
      <c r="C49" s="14" t="s">
        <v>15</v>
      </c>
      <c r="D49" s="15" t="s">
        <v>191</v>
      </c>
      <c r="E49" s="42">
        <f t="shared" si="7"/>
        <v>34700.854700854696</v>
      </c>
      <c r="F49" s="42">
        <f t="shared" si="7"/>
        <v>11764.705882352941</v>
      </c>
      <c r="G49" s="42">
        <f t="shared" si="7"/>
        <v>12223.365928975811</v>
      </c>
      <c r="H49" s="42">
        <f t="shared" si="7"/>
        <v>5022.3214285714284</v>
      </c>
      <c r="J49" s="26"/>
    </row>
    <row r="50" spans="2:11" x14ac:dyDescent="0.3">
      <c r="C50" s="15" t="s">
        <v>16</v>
      </c>
      <c r="D50" s="15" t="s">
        <v>191</v>
      </c>
      <c r="E50" s="42">
        <f t="shared" si="7"/>
        <v>28194.444444444442</v>
      </c>
      <c r="F50" s="42">
        <f t="shared" si="7"/>
        <v>9803.9215686274492</v>
      </c>
      <c r="G50" s="42">
        <f t="shared" si="7"/>
        <v>9987.3843566021878</v>
      </c>
      <c r="H50" s="42">
        <f t="shared" si="7"/>
        <v>4185.2678571428569</v>
      </c>
      <c r="J50" s="26"/>
    </row>
    <row r="51" spans="2:11" x14ac:dyDescent="0.3">
      <c r="C51" s="15" t="s">
        <v>17</v>
      </c>
      <c r="D51" s="15" t="s">
        <v>191</v>
      </c>
      <c r="E51" s="42">
        <f t="shared" si="7"/>
        <v>34700.854700854696</v>
      </c>
      <c r="F51" s="42">
        <f t="shared" si="7"/>
        <v>11764.705882352941</v>
      </c>
      <c r="G51" s="42">
        <f t="shared" si="7"/>
        <v>12599.46949602122</v>
      </c>
      <c r="H51" s="42">
        <f t="shared" si="7"/>
        <v>5022.3214285714284</v>
      </c>
      <c r="J51" s="26"/>
    </row>
    <row r="52" spans="2:11" x14ac:dyDescent="0.3">
      <c r="C52" s="15" t="s">
        <v>18</v>
      </c>
      <c r="D52" s="15" t="s">
        <v>191</v>
      </c>
      <c r="E52" s="42">
        <f t="shared" si="7"/>
        <v>28194.444444444442</v>
      </c>
      <c r="F52" s="42">
        <f t="shared" si="7"/>
        <v>9688.5813148788911</v>
      </c>
      <c r="G52" s="42">
        <f t="shared" si="7"/>
        <v>10237.068965517241</v>
      </c>
      <c r="H52" s="42">
        <f t="shared" si="7"/>
        <v>4136.0294117647063</v>
      </c>
      <c r="J52" s="26"/>
    </row>
    <row r="53" spans="2:11" x14ac:dyDescent="0.3">
      <c r="C53" s="15" t="s">
        <v>19</v>
      </c>
      <c r="D53" s="15" t="s">
        <v>191</v>
      </c>
      <c r="E53" s="42">
        <f t="shared" si="7"/>
        <v>28194.444444444442</v>
      </c>
      <c r="F53" s="42">
        <f t="shared" si="7"/>
        <v>9575.9233926128582</v>
      </c>
      <c r="G53" s="42">
        <f t="shared" si="7"/>
        <v>10237.068965517241</v>
      </c>
      <c r="H53" s="42">
        <f t="shared" si="7"/>
        <v>4087.9360465116279</v>
      </c>
      <c r="J53" s="26"/>
    </row>
    <row r="54" spans="2:11" ht="15.95" customHeight="1" x14ac:dyDescent="0.3">
      <c r="C54" s="14" t="s">
        <v>20</v>
      </c>
      <c r="D54" s="15" t="s">
        <v>191</v>
      </c>
      <c r="E54" s="151">
        <f t="shared" si="7"/>
        <v>26535.947712418299</v>
      </c>
      <c r="F54" s="151">
        <f t="shared" si="7"/>
        <v>9465.8553076402968</v>
      </c>
      <c r="G54" s="42">
        <f t="shared" si="7"/>
        <v>9413.3967499009123</v>
      </c>
      <c r="H54" s="42">
        <f t="shared" si="7"/>
        <v>4040.9482758620688</v>
      </c>
      <c r="J54" s="26"/>
    </row>
    <row r="55" spans="2:11" ht="15.95" customHeight="1" x14ac:dyDescent="0.3">
      <c r="C55" s="14" t="s">
        <v>21</v>
      </c>
      <c r="D55" s="15" t="s">
        <v>191</v>
      </c>
      <c r="E55" s="42">
        <f>E$15/E$21*E$31/(1-E$34)/E45</f>
        <v>22555.555555555555</v>
      </c>
      <c r="F55" s="42">
        <f t="shared" si="7"/>
        <v>8235.2941176470576</v>
      </c>
      <c r="G55" s="42">
        <f t="shared" si="7"/>
        <v>8189.6551724137935</v>
      </c>
      <c r="H55" s="42">
        <f t="shared" si="7"/>
        <v>3515.625</v>
      </c>
      <c r="J55" s="26"/>
    </row>
    <row r="56" spans="2:11" ht="17.25" thickBot="1" x14ac:dyDescent="0.35">
      <c r="C56" s="14" t="s">
        <v>22</v>
      </c>
      <c r="D56" s="33" t="s">
        <v>191</v>
      </c>
      <c r="E56" s="42">
        <f t="shared" si="7"/>
        <v>7783.5622324689703</v>
      </c>
      <c r="F56" s="42">
        <f t="shared" si="7"/>
        <v>2525.0020290194875</v>
      </c>
      <c r="G56" s="42">
        <f t="shared" si="7"/>
        <v>2511.0087911739365</v>
      </c>
      <c r="H56" s="42">
        <f t="shared" si="7"/>
        <v>1001.5328887873037</v>
      </c>
      <c r="J56" s="26" t="s">
        <v>39</v>
      </c>
    </row>
    <row r="57" spans="2:11" ht="17.25" thickTop="1" x14ac:dyDescent="0.3">
      <c r="C57" s="27" t="s">
        <v>196</v>
      </c>
      <c r="D57" s="32"/>
      <c r="E57" s="23"/>
      <c r="F57" s="24"/>
      <c r="J57" s="26"/>
    </row>
    <row r="58" spans="2:11" x14ac:dyDescent="0.3">
      <c r="B58" s="125"/>
      <c r="C58" s="20" t="s">
        <v>197</v>
      </c>
      <c r="D58" s="15" t="s">
        <v>166</v>
      </c>
      <c r="E58" s="25">
        <f>'Campaign Input'!$G$12*'Data Input'!B$9</f>
        <v>0</v>
      </c>
      <c r="F58" s="25">
        <f>'Campaign Input'!$G$12*'Data Input'!C$9</f>
        <v>0</v>
      </c>
      <c r="G58" s="25">
        <f>'Campaign Input'!$G$12*'Data Input'!D$9</f>
        <v>0</v>
      </c>
      <c r="H58" s="25">
        <f>'Campaign Input'!$G$12*'Data Input'!E$9</f>
        <v>0</v>
      </c>
      <c r="I58" s="26"/>
      <c r="J58" s="26"/>
      <c r="K58" s="26"/>
    </row>
    <row r="59" spans="2:11" ht="17.25" thickBot="1" x14ac:dyDescent="0.35">
      <c r="B59" s="125"/>
      <c r="C59" s="14" t="s">
        <v>198</v>
      </c>
      <c r="D59" s="33" t="s">
        <v>188</v>
      </c>
      <c r="E59" s="35" t="e">
        <f>IF(ISBLANK(E58),"",E58/SUM($E58:$H58))</f>
        <v>#DIV/0!</v>
      </c>
      <c r="F59" s="35" t="e">
        <f t="shared" ref="F59:H59" si="8">IF(ISBLANK(F58),"",F58/SUM($E58:$H58))</f>
        <v>#DIV/0!</v>
      </c>
      <c r="G59" s="35" t="e">
        <f t="shared" si="8"/>
        <v>#DIV/0!</v>
      </c>
      <c r="H59" s="35" t="e">
        <f t="shared" si="8"/>
        <v>#DIV/0!</v>
      </c>
      <c r="J59" s="26" t="s">
        <v>199</v>
      </c>
    </row>
    <row r="60" spans="2:11" ht="17.25" thickTop="1" x14ac:dyDescent="0.3">
      <c r="C60" s="49" t="s">
        <v>200</v>
      </c>
      <c r="D60" s="22"/>
      <c r="E60" s="23"/>
      <c r="F60" s="24"/>
    </row>
    <row r="61" spans="2:11" x14ac:dyDescent="0.3">
      <c r="C61" s="20" t="s">
        <v>14</v>
      </c>
      <c r="D61" s="15" t="s">
        <v>188</v>
      </c>
      <c r="E61" s="37">
        <f>'Data Input'!B16</f>
        <v>0.30492249019042039</v>
      </c>
      <c r="F61" s="37">
        <f>'Data Input'!C16</f>
        <v>0.30492249019042039</v>
      </c>
      <c r="G61" s="37">
        <f>'Data Input'!D16</f>
        <v>0.30492249019042039</v>
      </c>
      <c r="H61" s="37">
        <f>'Data Input'!E16</f>
        <v>0.30492249019042039</v>
      </c>
    </row>
    <row r="62" spans="2:11" x14ac:dyDescent="0.3">
      <c r="C62" s="14" t="s">
        <v>15</v>
      </c>
      <c r="D62" s="15" t="s">
        <v>188</v>
      </c>
      <c r="E62" s="37">
        <f>'Data Input'!B17</f>
        <v>9.0977467467497006E-2</v>
      </c>
      <c r="F62" s="37">
        <f>'Data Input'!C17</f>
        <v>9.0977467467497006E-2</v>
      </c>
      <c r="G62" s="37">
        <f>'Data Input'!D17</f>
        <v>9.0977467467497006E-2</v>
      </c>
      <c r="H62" s="37">
        <f>'Data Input'!E17</f>
        <v>9.0977467467497006E-2</v>
      </c>
    </row>
    <row r="63" spans="2:11" x14ac:dyDescent="0.3">
      <c r="C63" s="15" t="s">
        <v>16</v>
      </c>
      <c r="D63" s="15" t="s">
        <v>188</v>
      </c>
      <c r="E63" s="37">
        <f>'Data Input'!B18</f>
        <v>9.0977467467497006E-2</v>
      </c>
      <c r="F63" s="37">
        <f>'Data Input'!C18</f>
        <v>9.0977467467497006E-2</v>
      </c>
      <c r="G63" s="37">
        <f>'Data Input'!D18</f>
        <v>9.0977467467497006E-2</v>
      </c>
      <c r="H63" s="37">
        <f>'Data Input'!E18</f>
        <v>9.0977467467497006E-2</v>
      </c>
    </row>
    <row r="64" spans="2:11" x14ac:dyDescent="0.3">
      <c r="C64" s="15" t="s">
        <v>17</v>
      </c>
      <c r="D64" s="15" t="s">
        <v>188</v>
      </c>
      <c r="E64" s="37">
        <f>'Data Input'!B19</f>
        <v>0</v>
      </c>
      <c r="F64" s="37">
        <f>'Data Input'!C19</f>
        <v>0</v>
      </c>
      <c r="G64" s="37">
        <f>'Data Input'!D19</f>
        <v>0</v>
      </c>
      <c r="H64" s="37">
        <f>'Data Input'!E19</f>
        <v>0</v>
      </c>
    </row>
    <row r="65" spans="1:13" x14ac:dyDescent="0.3">
      <c r="C65" s="15" t="s">
        <v>18</v>
      </c>
      <c r="D65" s="15" t="s">
        <v>188</v>
      </c>
      <c r="E65" s="37">
        <f>'Data Input'!B20</f>
        <v>0</v>
      </c>
      <c r="F65" s="37">
        <f>'Data Input'!C20</f>
        <v>0</v>
      </c>
      <c r="G65" s="37">
        <f>'Data Input'!D20</f>
        <v>0</v>
      </c>
      <c r="H65" s="37">
        <f>'Data Input'!E20</f>
        <v>0</v>
      </c>
    </row>
    <row r="66" spans="1:13" x14ac:dyDescent="0.3">
      <c r="C66" s="15" t="s">
        <v>19</v>
      </c>
      <c r="D66" s="15" t="s">
        <v>188</v>
      </c>
      <c r="E66" s="37">
        <f>'Data Input'!B21</f>
        <v>0.12923408428553401</v>
      </c>
      <c r="F66" s="37">
        <f>'Data Input'!C21</f>
        <v>0.12923408428553401</v>
      </c>
      <c r="G66" s="37">
        <f>'Data Input'!D21</f>
        <v>0.12923408428553401</v>
      </c>
      <c r="H66" s="37">
        <f>'Data Input'!E21</f>
        <v>0.12923408428553401</v>
      </c>
    </row>
    <row r="67" spans="1:13" ht="15.95" customHeight="1" x14ac:dyDescent="0.3">
      <c r="C67" s="14" t="s">
        <v>20</v>
      </c>
      <c r="D67" s="15" t="s">
        <v>188</v>
      </c>
      <c r="E67" s="37">
        <f>'Data Input'!B22</f>
        <v>0.21773920053785401</v>
      </c>
      <c r="F67" s="37">
        <f>'Data Input'!C22</f>
        <v>0.21773920053785401</v>
      </c>
      <c r="G67" s="37">
        <f>'Data Input'!D22</f>
        <v>0.21773920053785401</v>
      </c>
      <c r="H67" s="37">
        <f>'Data Input'!E22</f>
        <v>0.21773920053785401</v>
      </c>
    </row>
    <row r="68" spans="1:13" ht="15.95" customHeight="1" x14ac:dyDescent="0.3">
      <c r="C68" s="14" t="s">
        <v>21</v>
      </c>
      <c r="D68" s="15" t="s">
        <v>188</v>
      </c>
      <c r="E68" s="37">
        <f>'Data Input'!B23</f>
        <v>5.9762824841613799E-2</v>
      </c>
      <c r="F68" s="37">
        <f>'Data Input'!C23</f>
        <v>5.9762824841613799E-2</v>
      </c>
      <c r="G68" s="37">
        <f>'Data Input'!D23</f>
        <v>5.9762824841613799E-2</v>
      </c>
      <c r="H68" s="37">
        <f>'Data Input'!E23</f>
        <v>5.9762824841613799E-2</v>
      </c>
    </row>
    <row r="69" spans="1:13" ht="17.25" thickBot="1" x14ac:dyDescent="0.35">
      <c r="C69" s="33" t="s">
        <v>22</v>
      </c>
      <c r="D69" s="33" t="s">
        <v>188</v>
      </c>
      <c r="E69" s="196">
        <f>'Data Input'!B24</f>
        <v>0.106386465209583</v>
      </c>
      <c r="F69" s="196">
        <f>'Data Input'!C24</f>
        <v>0.106386465209583</v>
      </c>
      <c r="G69" s="196">
        <f>'Data Input'!D24</f>
        <v>0.106386465209583</v>
      </c>
      <c r="H69" s="196">
        <f>'Data Input'!E24</f>
        <v>0.106386465209583</v>
      </c>
      <c r="J69" s="169"/>
    </row>
    <row r="70" spans="1:13" ht="18" thickTop="1" thickBot="1" x14ac:dyDescent="0.35">
      <c r="B70" s="74"/>
      <c r="C70" s="75"/>
    </row>
    <row r="71" spans="1:13" ht="20.25" x14ac:dyDescent="0.35">
      <c r="C71" s="73" t="s">
        <v>201</v>
      </c>
      <c r="D71" s="76"/>
    </row>
    <row r="72" spans="1:13" s="18" customFormat="1" ht="17.25" thickBot="1" x14ac:dyDescent="0.35">
      <c r="A72" s="17"/>
      <c r="B72" s="19" t="s">
        <v>153</v>
      </c>
      <c r="C72" s="19" t="s">
        <v>154</v>
      </c>
      <c r="D72" s="19" t="s">
        <v>32</v>
      </c>
      <c r="E72" s="56" t="s">
        <v>177</v>
      </c>
      <c r="F72" s="19"/>
      <c r="G72" s="59" t="str">
        <f>E72</f>
        <v>Input Values &amp; interim results</v>
      </c>
      <c r="H72" s="19"/>
      <c r="I72" s="19"/>
      <c r="J72" s="56" t="s">
        <v>156</v>
      </c>
      <c r="K72" s="56"/>
      <c r="M72" s="26" t="s">
        <v>202</v>
      </c>
    </row>
    <row r="73" spans="1:13" s="30" customFormat="1" ht="18" thickTop="1" thickBot="1" x14ac:dyDescent="0.35">
      <c r="A73" s="17"/>
      <c r="B73" s="28"/>
      <c r="C73" s="29" t="s">
        <v>157</v>
      </c>
      <c r="D73" s="29"/>
      <c r="E73" s="335" t="s">
        <v>5</v>
      </c>
      <c r="F73" s="335"/>
      <c r="G73" s="335" t="s">
        <v>6</v>
      </c>
      <c r="H73" s="335"/>
      <c r="I73" s="28"/>
      <c r="J73" s="28"/>
      <c r="K73" s="57"/>
      <c r="M73" s="26" t="s">
        <v>203</v>
      </c>
    </row>
    <row r="74" spans="1:13" ht="18" thickTop="1" thickBot="1" x14ac:dyDescent="0.35">
      <c r="B74" s="19"/>
      <c r="C74" s="29" t="s">
        <v>158</v>
      </c>
      <c r="D74" s="29"/>
      <c r="E74" s="29" t="s">
        <v>7</v>
      </c>
      <c r="F74" s="29" t="s">
        <v>8</v>
      </c>
      <c r="G74" s="29" t="s">
        <v>7</v>
      </c>
      <c r="H74" s="29" t="s">
        <v>8</v>
      </c>
      <c r="I74" s="19"/>
      <c r="J74" s="19"/>
      <c r="K74" s="56"/>
      <c r="M74" s="26" t="s">
        <v>204</v>
      </c>
    </row>
    <row r="75" spans="1:13" ht="17.25" thickTop="1" x14ac:dyDescent="0.3">
      <c r="C75" s="27" t="s">
        <v>205</v>
      </c>
      <c r="M75" s="26" t="s">
        <v>206</v>
      </c>
    </row>
    <row r="76" spans="1:13" x14ac:dyDescent="0.3">
      <c r="B76" s="21"/>
      <c r="C76" s="20" t="s">
        <v>207</v>
      </c>
      <c r="D76" s="15" t="s">
        <v>184</v>
      </c>
      <c r="E76" s="38">
        <v>8</v>
      </c>
      <c r="G76" s="26"/>
      <c r="H76" s="26"/>
      <c r="I76" s="26"/>
      <c r="K76" s="26"/>
      <c r="M76" s="26"/>
    </row>
    <row r="77" spans="1:13" x14ac:dyDescent="0.3">
      <c r="B77" s="21"/>
      <c r="C77" s="20" t="s">
        <v>208</v>
      </c>
      <c r="D77" s="15" t="s">
        <v>184</v>
      </c>
      <c r="E77" s="38">
        <v>40</v>
      </c>
      <c r="G77" s="26"/>
      <c r="H77" s="26"/>
      <c r="I77" s="26"/>
      <c r="K77" s="26"/>
      <c r="M77" s="144" t="s">
        <v>209</v>
      </c>
    </row>
    <row r="78" spans="1:13" x14ac:dyDescent="0.3">
      <c r="B78" s="21"/>
      <c r="C78" s="20" t="s">
        <v>210</v>
      </c>
      <c r="D78" s="46" t="s">
        <v>211</v>
      </c>
      <c r="E78" s="50">
        <f>6-E79</f>
        <v>2.5</v>
      </c>
      <c r="G78" s="26"/>
      <c r="H78" s="26"/>
      <c r="I78" s="26"/>
      <c r="J78" s="146" t="s">
        <v>212</v>
      </c>
      <c r="K78" s="6" t="s">
        <v>213</v>
      </c>
      <c r="M78" s="143" t="s">
        <v>214</v>
      </c>
    </row>
    <row r="79" spans="1:13" x14ac:dyDescent="0.3">
      <c r="B79" s="21"/>
      <c r="C79" s="20" t="s">
        <v>215</v>
      </c>
      <c r="D79" s="46" t="s">
        <v>211</v>
      </c>
      <c r="E79" s="38">
        <v>3.5</v>
      </c>
      <c r="G79" s="26"/>
      <c r="H79" s="26"/>
      <c r="I79" s="26"/>
      <c r="K79" s="26"/>
    </row>
    <row r="80" spans="1:13" x14ac:dyDescent="0.3">
      <c r="B80" s="21"/>
      <c r="C80" s="20" t="s">
        <v>216</v>
      </c>
      <c r="D80" s="46" t="s">
        <v>211</v>
      </c>
      <c r="E80" s="38">
        <v>7</v>
      </c>
      <c r="F80" s="26"/>
      <c r="G80" s="26"/>
      <c r="H80" s="26"/>
      <c r="I80" s="26"/>
      <c r="K80" s="26"/>
      <c r="M80" s="143" t="s">
        <v>217</v>
      </c>
    </row>
    <row r="81" spans="2:13" x14ac:dyDescent="0.3">
      <c r="B81" s="21"/>
      <c r="C81" s="20" t="s">
        <v>218</v>
      </c>
      <c r="D81" s="46" t="s">
        <v>211</v>
      </c>
      <c r="E81" s="50">
        <f>H81*F81*J81</f>
        <v>42</v>
      </c>
      <c r="F81" s="38">
        <v>12</v>
      </c>
      <c r="G81" s="26" t="s">
        <v>219</v>
      </c>
      <c r="H81" s="38">
        <v>5</v>
      </c>
      <c r="I81" s="26" t="s">
        <v>220</v>
      </c>
      <c r="J81" s="38">
        <v>0.7</v>
      </c>
      <c r="K81" s="26" t="s">
        <v>221</v>
      </c>
      <c r="M81" s="6" t="s">
        <v>222</v>
      </c>
    </row>
    <row r="82" spans="2:13" x14ac:dyDescent="0.3">
      <c r="B82" s="21"/>
      <c r="C82" s="20" t="s">
        <v>223</v>
      </c>
      <c r="D82" s="46" t="s">
        <v>211</v>
      </c>
      <c r="E82" s="50">
        <f>J82*F82</f>
        <v>3</v>
      </c>
      <c r="F82" s="25">
        <v>100</v>
      </c>
      <c r="G82" s="26" t="s">
        <v>224</v>
      </c>
      <c r="J82" s="54">
        <v>0.03</v>
      </c>
      <c r="K82" s="26" t="s">
        <v>225</v>
      </c>
      <c r="M82" s="143" t="s">
        <v>226</v>
      </c>
    </row>
    <row r="83" spans="2:13" x14ac:dyDescent="0.3">
      <c r="B83" s="21"/>
      <c r="C83" s="20" t="s">
        <v>227</v>
      </c>
      <c r="D83" s="46" t="s">
        <v>211</v>
      </c>
      <c r="E83" s="152">
        <f>SUM(E79:E82)</f>
        <v>55.5</v>
      </c>
      <c r="F83" s="26"/>
      <c r="G83" s="26"/>
      <c r="J83" s="146">
        <v>55</v>
      </c>
      <c r="K83" s="6" t="s">
        <v>228</v>
      </c>
      <c r="M83" s="6"/>
    </row>
    <row r="84" spans="2:13" x14ac:dyDescent="0.3">
      <c r="B84" s="21"/>
      <c r="C84" s="14" t="s">
        <v>229</v>
      </c>
      <c r="D84" s="46" t="s">
        <v>230</v>
      </c>
      <c r="E84" s="50">
        <f>SUM($E79:$E82)*E23*365*10^-3</f>
        <v>81.03</v>
      </c>
      <c r="F84" s="50">
        <f>SUM($E79:$E82)*F23*365*10^-3</f>
        <v>81.03</v>
      </c>
      <c r="G84" s="50">
        <f>SUM($E79:$E82)*G23*365*10^-3</f>
        <v>60.772500000000001</v>
      </c>
      <c r="H84" s="50">
        <f>SUM($E79:$E82)*H23*365*10^-3</f>
        <v>60.772500000000001</v>
      </c>
      <c r="J84" s="26"/>
    </row>
    <row r="85" spans="2:13" x14ac:dyDescent="0.3">
      <c r="B85" s="21"/>
      <c r="C85" s="14" t="s">
        <v>231</v>
      </c>
      <c r="D85" s="145" t="s">
        <v>232</v>
      </c>
      <c r="E85" s="147">
        <v>4.1867999999999999</v>
      </c>
      <c r="F85" s="50"/>
      <c r="G85" s="50"/>
      <c r="H85" s="50"/>
      <c r="J85" s="26"/>
    </row>
    <row r="86" spans="2:13" x14ac:dyDescent="0.3">
      <c r="B86" s="21"/>
      <c r="C86" s="14" t="s">
        <v>233</v>
      </c>
      <c r="D86" s="46" t="s">
        <v>191</v>
      </c>
      <c r="E86" s="47">
        <f>E84*($E77-$E76)*$E85/3.6</f>
        <v>3015.6124799999998</v>
      </c>
      <c r="F86" s="47">
        <f>F84*($E77-$E76)*$E85/3.6</f>
        <v>3015.6124799999998</v>
      </c>
      <c r="G86" s="47">
        <f t="shared" ref="G86:H86" si="9">G84*($E77-$E76)*$E85/3.6</f>
        <v>2261.7093599999998</v>
      </c>
      <c r="H86" s="47">
        <f t="shared" si="9"/>
        <v>2261.7093599999998</v>
      </c>
      <c r="J86" s="26" t="s">
        <v>234</v>
      </c>
      <c r="K86" s="6" t="s">
        <v>235</v>
      </c>
    </row>
    <row r="87" spans="2:13" x14ac:dyDescent="0.3">
      <c r="B87" s="21"/>
      <c r="C87" s="14" t="s">
        <v>233</v>
      </c>
      <c r="D87" s="46" t="s">
        <v>180</v>
      </c>
      <c r="E87" s="154">
        <f>E86/E24</f>
        <v>21.540089142857141</v>
      </c>
      <c r="F87" s="154">
        <f t="shared" ref="F87:H87" si="10">F86/F24</f>
        <v>21.540089142857141</v>
      </c>
      <c r="G87" s="154">
        <f t="shared" si="10"/>
        <v>30.156124799999997</v>
      </c>
      <c r="H87" s="154">
        <f t="shared" si="10"/>
        <v>30.156124799999997</v>
      </c>
      <c r="J87" s="26"/>
      <c r="K87" s="6"/>
    </row>
    <row r="88" spans="2:13" x14ac:dyDescent="0.3">
      <c r="C88" s="51" t="s">
        <v>236</v>
      </c>
      <c r="E88" s="26" t="s">
        <v>237</v>
      </c>
      <c r="F88" s="153"/>
      <c r="G88" s="26" t="s">
        <v>238</v>
      </c>
    </row>
    <row r="89" spans="2:13" x14ac:dyDescent="0.3">
      <c r="B89" s="21"/>
      <c r="C89" s="20" t="s">
        <v>239</v>
      </c>
      <c r="D89" s="15" t="s">
        <v>188</v>
      </c>
      <c r="E89" s="48">
        <v>0.05</v>
      </c>
      <c r="F89" s="153">
        <f>E89</f>
        <v>0.05</v>
      </c>
      <c r="G89" s="48">
        <v>0.05</v>
      </c>
      <c r="H89" s="153">
        <f>G89</f>
        <v>0.05</v>
      </c>
      <c r="I89" s="26"/>
    </row>
    <row r="90" spans="2:13" x14ac:dyDescent="0.3">
      <c r="B90" s="21"/>
      <c r="C90" s="20" t="s">
        <v>240</v>
      </c>
      <c r="D90" s="15" t="s">
        <v>188</v>
      </c>
      <c r="E90" s="37">
        <v>0.4</v>
      </c>
      <c r="F90" s="153">
        <f>E90</f>
        <v>0.4</v>
      </c>
      <c r="G90" s="37">
        <v>1.1399999999999999</v>
      </c>
      <c r="H90" s="153">
        <f>G90</f>
        <v>1.1399999999999999</v>
      </c>
      <c r="I90" s="26"/>
    </row>
    <row r="91" spans="2:13" x14ac:dyDescent="0.3">
      <c r="B91" s="21"/>
      <c r="C91" s="14" t="s">
        <v>241</v>
      </c>
      <c r="D91" s="15" t="s">
        <v>188</v>
      </c>
      <c r="E91" s="37">
        <v>7.0000000000000007E-2</v>
      </c>
      <c r="F91" s="153">
        <f>E91</f>
        <v>7.0000000000000007E-2</v>
      </c>
      <c r="G91" s="37">
        <v>0.08</v>
      </c>
      <c r="H91" s="153">
        <f>G91</f>
        <v>0.08</v>
      </c>
      <c r="I91" s="26"/>
    </row>
    <row r="92" spans="2:13" x14ac:dyDescent="0.3">
      <c r="C92" s="51" t="s">
        <v>242</v>
      </c>
      <c r="F92" s="153"/>
    </row>
    <row r="93" spans="2:13" x14ac:dyDescent="0.3">
      <c r="C93" s="20" t="s">
        <v>243</v>
      </c>
      <c r="D93" s="46" t="s">
        <v>191</v>
      </c>
      <c r="E93" s="47">
        <f>E86*(1+SUM(E89:E91))</f>
        <v>4583.7309695999993</v>
      </c>
      <c r="F93" s="47">
        <f>F86*(1+SUM(F89:F91))</f>
        <v>4583.7309695999993</v>
      </c>
      <c r="G93" s="47">
        <f t="shared" ref="G93" si="11">G86*(1+SUM(G89:G91))</f>
        <v>5134.0802471999996</v>
      </c>
      <c r="H93" s="47">
        <f>H86*(1+SUM(H89:H91))</f>
        <v>5134.0802471999996</v>
      </c>
    </row>
    <row r="94" spans="2:13" x14ac:dyDescent="0.3">
      <c r="C94" s="51" t="s">
        <v>244</v>
      </c>
    </row>
    <row r="95" spans="2:13" x14ac:dyDescent="0.3">
      <c r="C95" s="20" t="s">
        <v>14</v>
      </c>
      <c r="D95" s="15" t="s">
        <v>191</v>
      </c>
      <c r="E95" s="42">
        <f t="shared" ref="E95:H101" si="12">E$93/E38</f>
        <v>4725.4958449484529</v>
      </c>
      <c r="F95" s="42">
        <f t="shared" si="12"/>
        <v>4677.276499591836</v>
      </c>
      <c r="G95" s="42">
        <f t="shared" si="12"/>
        <v>5292.8662342268035</v>
      </c>
      <c r="H95" s="42">
        <f t="shared" si="12"/>
        <v>5238.8573951020408</v>
      </c>
      <c r="J95" s="26"/>
    </row>
    <row r="96" spans="2:13" x14ac:dyDescent="0.3">
      <c r="C96" s="14" t="s">
        <v>15</v>
      </c>
      <c r="D96" s="15" t="s">
        <v>191</v>
      </c>
      <c r="E96" s="42">
        <f t="shared" si="12"/>
        <v>7051.8937993846139</v>
      </c>
      <c r="F96" s="42">
        <f t="shared" si="12"/>
        <v>6548.1870994285709</v>
      </c>
      <c r="G96" s="42">
        <f t="shared" si="12"/>
        <v>7662.8063391044761</v>
      </c>
      <c r="H96" s="42">
        <f t="shared" si="12"/>
        <v>7334.4003531428571</v>
      </c>
      <c r="J96" s="26"/>
    </row>
    <row r="97" spans="1:23" x14ac:dyDescent="0.3">
      <c r="C97" s="15" t="s">
        <v>16</v>
      </c>
      <c r="D97" s="15" t="s">
        <v>191</v>
      </c>
      <c r="E97" s="42">
        <f t="shared" si="12"/>
        <v>5729.6637119999987</v>
      </c>
      <c r="F97" s="42">
        <f t="shared" si="12"/>
        <v>5456.8225828571422</v>
      </c>
      <c r="G97" s="42">
        <f t="shared" si="12"/>
        <v>6261.0734721951221</v>
      </c>
      <c r="H97" s="42">
        <f t="shared" si="12"/>
        <v>6112.0002942857136</v>
      </c>
      <c r="J97" s="26"/>
    </row>
    <row r="98" spans="1:23" x14ac:dyDescent="0.3">
      <c r="C98" s="15" t="s">
        <v>17</v>
      </c>
      <c r="D98" s="15" t="s">
        <v>191</v>
      </c>
      <c r="E98" s="42">
        <f t="shared" si="12"/>
        <v>7051.8937993846139</v>
      </c>
      <c r="F98" s="42">
        <f t="shared" si="12"/>
        <v>6548.1870994285709</v>
      </c>
      <c r="G98" s="42">
        <f t="shared" si="12"/>
        <v>7898.5849956923066</v>
      </c>
      <c r="H98" s="42">
        <f t="shared" si="12"/>
        <v>7334.4003531428571</v>
      </c>
      <c r="J98" s="26"/>
    </row>
    <row r="99" spans="1:23" x14ac:dyDescent="0.3">
      <c r="C99" s="15" t="s">
        <v>18</v>
      </c>
      <c r="D99" s="15" t="s">
        <v>191</v>
      </c>
      <c r="E99" s="42">
        <f t="shared" si="12"/>
        <v>5729.6637119999987</v>
      </c>
      <c r="F99" s="42">
        <f t="shared" si="12"/>
        <v>5392.624670117646</v>
      </c>
      <c r="G99" s="42">
        <f t="shared" si="12"/>
        <v>6417.6003089999995</v>
      </c>
      <c r="H99" s="42">
        <f t="shared" si="12"/>
        <v>6040.094408470588</v>
      </c>
      <c r="J99" s="26"/>
    </row>
    <row r="100" spans="1:23" x14ac:dyDescent="0.3">
      <c r="C100" s="15" t="s">
        <v>19</v>
      </c>
      <c r="D100" s="15" t="s">
        <v>191</v>
      </c>
      <c r="E100" s="42">
        <f t="shared" si="12"/>
        <v>5729.6637119999987</v>
      </c>
      <c r="F100" s="42">
        <f t="shared" si="12"/>
        <v>5329.9197320930225</v>
      </c>
      <c r="G100" s="42">
        <f t="shared" si="12"/>
        <v>6417.6003089999995</v>
      </c>
      <c r="H100" s="42">
        <f t="shared" si="12"/>
        <v>5969.8607525581392</v>
      </c>
      <c r="J100" s="26"/>
    </row>
    <row r="101" spans="1:23" ht="15.95" customHeight="1" x14ac:dyDescent="0.3">
      <c r="C101" s="14" t="s">
        <v>20</v>
      </c>
      <c r="D101" s="15" t="s">
        <v>191</v>
      </c>
      <c r="E101" s="42">
        <f t="shared" si="12"/>
        <v>5392.624670117646</v>
      </c>
      <c r="F101" s="42">
        <f t="shared" si="12"/>
        <v>5268.6562868965511</v>
      </c>
      <c r="G101" s="42">
        <f t="shared" si="12"/>
        <v>5901.2416634482752</v>
      </c>
      <c r="H101" s="42">
        <f t="shared" si="12"/>
        <v>5901.2416634482752</v>
      </c>
      <c r="J101" s="26"/>
    </row>
    <row r="102" spans="1:23" ht="15.95" customHeight="1" x14ac:dyDescent="0.3">
      <c r="C102" s="14" t="s">
        <v>245</v>
      </c>
      <c r="D102" s="15" t="s">
        <v>191</v>
      </c>
      <c r="E102" s="42">
        <f>E$86/E45</f>
        <v>3015.6124799999998</v>
      </c>
      <c r="F102" s="42">
        <f t="shared" ref="F102:H102" si="13">F$86/F45</f>
        <v>3015.6124799999998</v>
      </c>
      <c r="G102" s="42">
        <f t="shared" si="13"/>
        <v>2261.7093599999998</v>
      </c>
      <c r="H102" s="42">
        <f t="shared" si="13"/>
        <v>2261.7093599999998</v>
      </c>
      <c r="J102" s="26"/>
    </row>
    <row r="103" spans="1:23" ht="17.25" thickBot="1" x14ac:dyDescent="0.35">
      <c r="C103" s="14" t="s">
        <v>22</v>
      </c>
      <c r="D103" s="33" t="s">
        <v>191</v>
      </c>
      <c r="E103" s="43">
        <f>E$93/E46</f>
        <v>1581.7724006354304</v>
      </c>
      <c r="F103" s="44">
        <f>F$93/F46</f>
        <v>1405.4057855587919</v>
      </c>
      <c r="G103" s="44">
        <f>G$93/G46</f>
        <v>1574.1469407327916</v>
      </c>
      <c r="H103" s="44">
        <f>H$93/H46</f>
        <v>1462.5991740427519</v>
      </c>
      <c r="J103" s="26" t="s">
        <v>39</v>
      </c>
    </row>
    <row r="104" spans="1:23" ht="18" thickTop="1" thickBot="1" x14ac:dyDescent="0.35">
      <c r="B104" s="74"/>
      <c r="C104" s="75"/>
    </row>
    <row r="105" spans="1:23" ht="20.25" x14ac:dyDescent="0.35">
      <c r="B105" s="77"/>
      <c r="C105" s="81" t="s">
        <v>246</v>
      </c>
      <c r="D105" s="76"/>
    </row>
    <row r="106" spans="1:23" s="18" customFormat="1" ht="33.75" thickBot="1" x14ac:dyDescent="0.35">
      <c r="A106" s="17"/>
      <c r="B106" s="19" t="s">
        <v>153</v>
      </c>
      <c r="C106" s="19" t="s">
        <v>154</v>
      </c>
      <c r="D106" s="19" t="s">
        <v>32</v>
      </c>
      <c r="E106" s="19" t="s">
        <v>247</v>
      </c>
      <c r="F106" s="19"/>
      <c r="G106" s="19" t="str">
        <f>E106</f>
        <v>Interim results</v>
      </c>
      <c r="H106" s="19"/>
      <c r="I106" s="19"/>
      <c r="J106" s="56" t="s">
        <v>156</v>
      </c>
      <c r="K106" s="56"/>
    </row>
    <row r="107" spans="1:23" s="30" customFormat="1" ht="18" thickTop="1" thickBot="1" x14ac:dyDescent="0.35">
      <c r="A107" s="17"/>
      <c r="B107" s="28"/>
      <c r="C107" s="29" t="s">
        <v>157</v>
      </c>
      <c r="D107" s="29"/>
      <c r="E107" s="335" t="s">
        <v>5</v>
      </c>
      <c r="F107" s="335"/>
      <c r="G107" s="335" t="s">
        <v>6</v>
      </c>
      <c r="H107" s="335"/>
      <c r="I107" s="28"/>
      <c r="J107" s="28"/>
      <c r="K107" s="57"/>
    </row>
    <row r="108" spans="1:23" ht="18" thickTop="1" thickBot="1" x14ac:dyDescent="0.35">
      <c r="B108" s="19"/>
      <c r="C108" s="29" t="s">
        <v>158</v>
      </c>
      <c r="D108" s="29"/>
      <c r="E108" s="29" t="s">
        <v>7</v>
      </c>
      <c r="F108" s="29" t="s">
        <v>8</v>
      </c>
      <c r="G108" s="29" t="s">
        <v>7</v>
      </c>
      <c r="H108" s="29" t="s">
        <v>8</v>
      </c>
      <c r="I108" s="19"/>
      <c r="J108" s="19"/>
      <c r="K108" s="56"/>
    </row>
    <row r="109" spans="1:23" ht="17.25" thickTop="1" x14ac:dyDescent="0.3">
      <c r="C109" s="51" t="s">
        <v>248</v>
      </c>
      <c r="K109"/>
      <c r="L109"/>
      <c r="N109" t="s">
        <v>249</v>
      </c>
    </row>
    <row r="110" spans="1:23" x14ac:dyDescent="0.3">
      <c r="B110" s="20"/>
      <c r="C110" s="20" t="s">
        <v>14</v>
      </c>
      <c r="D110" s="15" t="s">
        <v>191</v>
      </c>
      <c r="E110" s="42">
        <f t="shared" ref="E110:H118" si="14">E48+E95</f>
        <v>27978.645902222219</v>
      </c>
      <c r="F110" s="42">
        <f t="shared" si="14"/>
        <v>13080.637844129651</v>
      </c>
      <c r="G110" s="42">
        <f t="shared" si="14"/>
        <v>13735.809710942054</v>
      </c>
      <c r="H110" s="45">
        <f t="shared" si="14"/>
        <v>8826.2298440816321</v>
      </c>
      <c r="J110" s="227" t="str">
        <f>'Data Input'!B63</f>
        <v/>
      </c>
      <c r="K110" t="s">
        <v>250</v>
      </c>
      <c r="N110" s="228">
        <v>179</v>
      </c>
      <c r="O110" t="s">
        <v>251</v>
      </c>
      <c r="W110" s="17" t="s">
        <v>252</v>
      </c>
    </row>
    <row r="111" spans="1:23" x14ac:dyDescent="0.3">
      <c r="B111" s="20"/>
      <c r="C111" s="14" t="s">
        <v>15</v>
      </c>
      <c r="D111" s="15" t="s">
        <v>191</v>
      </c>
      <c r="E111" s="42">
        <f t="shared" si="14"/>
        <v>41752.748500239308</v>
      </c>
      <c r="F111" s="42">
        <f t="shared" si="14"/>
        <v>18312.892981781511</v>
      </c>
      <c r="G111" s="42">
        <f t="shared" si="14"/>
        <v>19886.172268080285</v>
      </c>
      <c r="H111" s="42">
        <f t="shared" si="14"/>
        <v>12356.721781714285</v>
      </c>
      <c r="J111" s="227">
        <v>0</v>
      </c>
      <c r="K111" t="s">
        <v>250</v>
      </c>
      <c r="N111" s="103">
        <v>25</v>
      </c>
      <c r="O111" t="s">
        <v>251</v>
      </c>
      <c r="T111" s="17" t="s">
        <v>253</v>
      </c>
      <c r="U111" s="17">
        <v>173</v>
      </c>
    </row>
    <row r="112" spans="1:23" x14ac:dyDescent="0.3">
      <c r="B112" s="20"/>
      <c r="C112" s="15" t="s">
        <v>16</v>
      </c>
      <c r="D112" s="15" t="s">
        <v>191</v>
      </c>
      <c r="E112" s="42">
        <f t="shared" si="14"/>
        <v>33924.108156444439</v>
      </c>
      <c r="F112" s="42">
        <f t="shared" si="14"/>
        <v>15260.744151484592</v>
      </c>
      <c r="G112" s="42">
        <f t="shared" si="14"/>
        <v>16248.457828797309</v>
      </c>
      <c r="H112" s="42">
        <f t="shared" si="14"/>
        <v>10297.26815142857</v>
      </c>
      <c r="J112" s="227">
        <v>0</v>
      </c>
      <c r="K112" t="s">
        <v>250</v>
      </c>
      <c r="N112" s="103">
        <v>26</v>
      </c>
      <c r="O112" t="s">
        <v>251</v>
      </c>
      <c r="T112" s="17" t="s">
        <v>254</v>
      </c>
      <c r="U112" s="17">
        <v>232</v>
      </c>
    </row>
    <row r="113" spans="1:21" x14ac:dyDescent="0.3">
      <c r="B113" s="20"/>
      <c r="C113" s="15" t="s">
        <v>17</v>
      </c>
      <c r="D113" s="15" t="s">
        <v>191</v>
      </c>
      <c r="E113" s="42">
        <f t="shared" si="14"/>
        <v>41752.748500239308</v>
      </c>
      <c r="F113" s="42">
        <f t="shared" si="14"/>
        <v>18312.892981781511</v>
      </c>
      <c r="G113" s="42">
        <f t="shared" si="14"/>
        <v>20498.054491713527</v>
      </c>
      <c r="H113" s="42">
        <f t="shared" si="14"/>
        <v>12356.721781714285</v>
      </c>
      <c r="J113" s="227">
        <f>104*3.6</f>
        <v>374.40000000000003</v>
      </c>
      <c r="K113" t="s">
        <v>250</v>
      </c>
      <c r="N113" s="103">
        <v>360</v>
      </c>
      <c r="O113" t="s">
        <v>255</v>
      </c>
      <c r="T113" s="17" t="s">
        <v>256</v>
      </c>
      <c r="U113" s="17">
        <v>263</v>
      </c>
    </row>
    <row r="114" spans="1:21" x14ac:dyDescent="0.3">
      <c r="B114" s="20"/>
      <c r="C114" s="15" t="s">
        <v>18</v>
      </c>
      <c r="D114" s="15" t="s">
        <v>191</v>
      </c>
      <c r="E114" s="42">
        <f t="shared" si="14"/>
        <v>33924.108156444439</v>
      </c>
      <c r="F114" s="42">
        <f t="shared" si="14"/>
        <v>15081.205984996537</v>
      </c>
      <c r="G114" s="42">
        <f t="shared" si="14"/>
        <v>16654.66927451724</v>
      </c>
      <c r="H114" s="42">
        <f t="shared" si="14"/>
        <v>10176.123820235294</v>
      </c>
      <c r="J114" s="227">
        <f>64*3.6</f>
        <v>230.4</v>
      </c>
      <c r="K114" t="s">
        <v>250</v>
      </c>
      <c r="N114" s="103">
        <v>313</v>
      </c>
      <c r="O114" t="s">
        <v>257</v>
      </c>
      <c r="T114" s="17" t="s">
        <v>258</v>
      </c>
      <c r="U114" s="17">
        <v>252</v>
      </c>
    </row>
    <row r="115" spans="1:21" x14ac:dyDescent="0.3">
      <c r="B115" s="20"/>
      <c r="C115" s="15" t="s">
        <v>19</v>
      </c>
      <c r="D115" s="15" t="s">
        <v>191</v>
      </c>
      <c r="E115" s="42">
        <f t="shared" si="14"/>
        <v>33924.108156444439</v>
      </c>
      <c r="F115" s="42">
        <f t="shared" si="14"/>
        <v>14905.84312470588</v>
      </c>
      <c r="G115" s="42">
        <f t="shared" si="14"/>
        <v>16654.66927451724</v>
      </c>
      <c r="H115" s="42">
        <f t="shared" si="14"/>
        <v>10057.796799069767</v>
      </c>
      <c r="J115" s="227">
        <f>78*3.6</f>
        <v>280.8</v>
      </c>
      <c r="K115" t="s">
        <v>250</v>
      </c>
      <c r="N115" s="103">
        <v>344</v>
      </c>
      <c r="O115" t="s">
        <v>251</v>
      </c>
      <c r="T115" s="17" t="s">
        <v>259</v>
      </c>
      <c r="U115" s="17">
        <v>220</v>
      </c>
    </row>
    <row r="116" spans="1:21" ht="15.95" customHeight="1" x14ac:dyDescent="0.3">
      <c r="B116" s="20"/>
      <c r="C116" s="14" t="s">
        <v>20</v>
      </c>
      <c r="D116" s="15" t="s">
        <v>191</v>
      </c>
      <c r="E116" s="45">
        <f t="shared" si="14"/>
        <v>31928.572382535946</v>
      </c>
      <c r="F116" s="45">
        <f t="shared" si="14"/>
        <v>14734.511594536849</v>
      </c>
      <c r="G116" s="42">
        <f t="shared" si="14"/>
        <v>15314.638413349188</v>
      </c>
      <c r="H116" s="42">
        <f t="shared" si="14"/>
        <v>9942.1899393103449</v>
      </c>
      <c r="J116" s="227">
        <f>55.6*3.6</f>
        <v>200.16</v>
      </c>
      <c r="K116" t="s">
        <v>250</v>
      </c>
      <c r="N116" s="103">
        <v>249</v>
      </c>
      <c r="O116" t="s">
        <v>251</v>
      </c>
      <c r="T116" s="17" t="s">
        <v>260</v>
      </c>
      <c r="U116" s="17">
        <v>220</v>
      </c>
    </row>
    <row r="117" spans="1:21" ht="15.95" customHeight="1" x14ac:dyDescent="0.3">
      <c r="B117" s="20"/>
      <c r="C117" s="14" t="s">
        <v>21</v>
      </c>
      <c r="D117" s="15" t="s">
        <v>191</v>
      </c>
      <c r="E117" s="42">
        <f t="shared" si="14"/>
        <v>25571.168035555555</v>
      </c>
      <c r="F117" s="42">
        <f t="shared" si="14"/>
        <v>11250.906597647057</v>
      </c>
      <c r="G117" s="42">
        <f t="shared" si="14"/>
        <v>10451.364532413794</v>
      </c>
      <c r="H117" s="42">
        <f t="shared" si="14"/>
        <v>5777.3343599999998</v>
      </c>
      <c r="J117" s="103" t="e">
        <f>VLOOKUP('Data Input'!B29,Dropdowns!A15:B19,2,)</f>
        <v>#N/A</v>
      </c>
      <c r="K117" t="s">
        <v>250</v>
      </c>
      <c r="N117" s="228">
        <v>170</v>
      </c>
      <c r="O117" t="s">
        <v>261</v>
      </c>
      <c r="U117" s="126">
        <f>AVERAGE(U111:U116)</f>
        <v>226.66666666666666</v>
      </c>
    </row>
    <row r="118" spans="1:21" ht="17.25" thickBot="1" x14ac:dyDescent="0.35">
      <c r="B118" s="20"/>
      <c r="C118" s="33" t="s">
        <v>22</v>
      </c>
      <c r="D118" s="33" t="s">
        <v>191</v>
      </c>
      <c r="E118" s="43">
        <f t="shared" si="14"/>
        <v>9365.3346331044013</v>
      </c>
      <c r="F118" s="43">
        <f t="shared" si="14"/>
        <v>3930.4078145782796</v>
      </c>
      <c r="G118" s="43">
        <f t="shared" si="14"/>
        <v>4085.1557319067279</v>
      </c>
      <c r="H118" s="43">
        <f t="shared" si="14"/>
        <v>2464.1320628300555</v>
      </c>
      <c r="J118" s="226" t="e">
        <f>J117</f>
        <v>#N/A</v>
      </c>
      <c r="K118" t="s">
        <v>250</v>
      </c>
      <c r="N118" s="228">
        <v>227</v>
      </c>
      <c r="O118" t="s">
        <v>262</v>
      </c>
    </row>
    <row r="119" spans="1:21" ht="18" thickTop="1" thickBot="1" x14ac:dyDescent="0.35">
      <c r="B119" s="74"/>
      <c r="C119" s="75"/>
    </row>
    <row r="120" spans="1:21" ht="20.25" x14ac:dyDescent="0.35">
      <c r="B120" s="77"/>
      <c r="C120" s="73" t="s">
        <v>263</v>
      </c>
      <c r="D120" s="76"/>
    </row>
    <row r="121" spans="1:21" s="18" customFormat="1" ht="17.25" thickBot="1" x14ac:dyDescent="0.35">
      <c r="A121" s="17"/>
      <c r="B121" s="19" t="s">
        <v>153</v>
      </c>
      <c r="C121" s="19" t="s">
        <v>154</v>
      </c>
      <c r="D121" s="19" t="s">
        <v>32</v>
      </c>
      <c r="E121" s="56" t="s">
        <v>155</v>
      </c>
      <c r="F121" s="19"/>
      <c r="G121" s="59" t="str">
        <f>E121</f>
        <v>Input Values</v>
      </c>
      <c r="H121" s="19"/>
      <c r="I121" s="19"/>
      <c r="J121" s="56" t="s">
        <v>156</v>
      </c>
      <c r="K121" s="56"/>
    </row>
    <row r="122" spans="1:21" s="30" customFormat="1" ht="18" thickTop="1" thickBot="1" x14ac:dyDescent="0.35">
      <c r="A122" s="17"/>
      <c r="B122" s="28"/>
      <c r="C122" s="29" t="s">
        <v>157</v>
      </c>
      <c r="D122" s="29"/>
      <c r="E122" s="335" t="s">
        <v>5</v>
      </c>
      <c r="F122" s="335"/>
      <c r="G122" s="335" t="s">
        <v>6</v>
      </c>
      <c r="H122" s="335"/>
      <c r="I122" s="28"/>
      <c r="J122" s="28"/>
      <c r="K122" s="57"/>
    </row>
    <row r="123" spans="1:21" ht="18" thickTop="1" thickBot="1" x14ac:dyDescent="0.35">
      <c r="B123" s="19"/>
      <c r="C123" s="29" t="s">
        <v>158</v>
      </c>
      <c r="D123" s="29"/>
      <c r="E123" s="29" t="s">
        <v>7</v>
      </c>
      <c r="F123" s="29" t="s">
        <v>8</v>
      </c>
      <c r="G123" s="29" t="s">
        <v>7</v>
      </c>
      <c r="H123" s="29" t="s">
        <v>8</v>
      </c>
      <c r="I123" s="19"/>
      <c r="J123" s="19"/>
      <c r="K123" s="56"/>
    </row>
    <row r="124" spans="1:21" customFormat="1" ht="18" thickTop="1" thickBot="1" x14ac:dyDescent="0.35">
      <c r="A124" s="17"/>
      <c r="B124" s="3"/>
      <c r="C124" s="68" t="s">
        <v>264</v>
      </c>
      <c r="D124" s="67" t="s">
        <v>38</v>
      </c>
      <c r="E124" s="72"/>
      <c r="F124" s="72"/>
      <c r="G124" s="72"/>
      <c r="H124" s="72"/>
      <c r="J124" s="2" t="s">
        <v>265</v>
      </c>
      <c r="M124" s="2" t="s">
        <v>266</v>
      </c>
    </row>
    <row r="125" spans="1:21" customFormat="1" ht="17.25" thickTop="1" x14ac:dyDescent="0.3">
      <c r="A125" s="17"/>
      <c r="B125" s="3"/>
      <c r="C125" s="78" t="s">
        <v>267</v>
      </c>
      <c r="D125" s="36" t="s">
        <v>268</v>
      </c>
      <c r="E125" s="156">
        <f>2.93*1.2</f>
        <v>3.516</v>
      </c>
      <c r="F125" s="4"/>
      <c r="G125" s="156">
        <f>3.69*1.2/0.8</f>
        <v>5.5349999999999993</v>
      </c>
      <c r="H125" s="156">
        <f>2.88*1.2/0.8</f>
        <v>4.3199999999999994</v>
      </c>
      <c r="J125" s="6" t="s">
        <v>269</v>
      </c>
      <c r="M125" s="12">
        <v>2025</v>
      </c>
      <c r="N125" s="6" t="s">
        <v>270</v>
      </c>
      <c r="O125" s="17"/>
    </row>
    <row r="126" spans="1:21" customFormat="1" x14ac:dyDescent="0.3">
      <c r="A126" s="17"/>
      <c r="B126" s="5"/>
      <c r="C126" s="78" t="s">
        <v>271</v>
      </c>
      <c r="D126" s="36" t="s">
        <v>272</v>
      </c>
      <c r="E126" s="55">
        <f>$E125*E24</f>
        <v>492.24</v>
      </c>
      <c r="F126" s="55">
        <f>$E125*F24</f>
        <v>492.24</v>
      </c>
      <c r="G126" s="55">
        <f>$G125*G24</f>
        <v>415.12499999999994</v>
      </c>
      <c r="H126" s="55">
        <f>$H125*H24</f>
        <v>323.99999999999994</v>
      </c>
      <c r="I126" s="17"/>
      <c r="J126" s="6" t="s">
        <v>273</v>
      </c>
      <c r="K126" s="17"/>
      <c r="L126" s="17"/>
      <c r="M126" s="12">
        <v>2025</v>
      </c>
      <c r="O126" s="17"/>
    </row>
    <row r="127" spans="1:21" customFormat="1" x14ac:dyDescent="0.3">
      <c r="A127" s="17"/>
      <c r="B127" s="5"/>
      <c r="C127" s="78" t="s">
        <v>274</v>
      </c>
      <c r="D127" s="36" t="s">
        <v>34</v>
      </c>
      <c r="E127" s="60" t="str">
        <f>'Data Input'!D34</f>
        <v/>
      </c>
      <c r="F127" s="42" t="str">
        <f>E127</f>
        <v/>
      </c>
      <c r="G127" s="60" t="str">
        <f>E127</f>
        <v/>
      </c>
      <c r="H127" s="60" t="str">
        <f>F127</f>
        <v/>
      </c>
      <c r="I127" s="10"/>
      <c r="J127" s="6" t="s">
        <v>275</v>
      </c>
      <c r="M127" s="12">
        <v>2025</v>
      </c>
      <c r="N127" s="17"/>
      <c r="O127" s="17"/>
    </row>
    <row r="128" spans="1:21" customFormat="1" x14ac:dyDescent="0.3">
      <c r="A128" s="17"/>
      <c r="B128" s="5"/>
      <c r="C128" s="78" t="s">
        <v>276</v>
      </c>
      <c r="D128" s="36" t="s">
        <v>272</v>
      </c>
      <c r="E128" s="60">
        <v>125</v>
      </c>
      <c r="F128" s="42">
        <f>$E128</f>
        <v>125</v>
      </c>
      <c r="G128" s="42">
        <f>$E128</f>
        <v>125</v>
      </c>
      <c r="H128" s="42">
        <f>$E128</f>
        <v>125</v>
      </c>
      <c r="J128" s="6" t="s">
        <v>269</v>
      </c>
      <c r="M128" s="12">
        <v>2025</v>
      </c>
      <c r="O128" s="17"/>
    </row>
    <row r="129" spans="1:20" customFormat="1" ht="17.25" thickBot="1" x14ac:dyDescent="0.35">
      <c r="A129" s="17"/>
      <c r="B129" s="3"/>
      <c r="C129" s="69" t="s">
        <v>277</v>
      </c>
      <c r="D129" s="52" t="s">
        <v>278</v>
      </c>
      <c r="E129" s="66">
        <f>10.8*1.1</f>
        <v>11.880000000000003</v>
      </c>
      <c r="F129" s="65">
        <f>E129</f>
        <v>11.880000000000003</v>
      </c>
      <c r="G129" s="65">
        <f>F129</f>
        <v>11.880000000000003</v>
      </c>
      <c r="H129" s="65">
        <f>G129</f>
        <v>11.880000000000003</v>
      </c>
      <c r="I129" s="17"/>
      <c r="J129" t="s">
        <v>279</v>
      </c>
      <c r="M129" s="9"/>
    </row>
    <row r="130" spans="1:20" customFormat="1" ht="17.25" thickTop="1" x14ac:dyDescent="0.3">
      <c r="A130" s="17"/>
      <c r="B130" s="3"/>
      <c r="C130" s="14" t="s">
        <v>15</v>
      </c>
      <c r="D130" s="36" t="s">
        <v>35</v>
      </c>
      <c r="E130" s="60" t="str">
        <f>'Data Input'!D35</f>
        <v/>
      </c>
      <c r="F130" s="4"/>
      <c r="G130" s="4"/>
      <c r="H130" s="4"/>
      <c r="M130" s="9"/>
    </row>
    <row r="131" spans="1:20" customFormat="1" ht="17.25" thickBot="1" x14ac:dyDescent="0.35">
      <c r="A131" s="17"/>
      <c r="B131" s="3"/>
      <c r="C131" s="69" t="s">
        <v>15</v>
      </c>
      <c r="D131" s="52" t="s">
        <v>38</v>
      </c>
      <c r="E131" s="64" t="e">
        <f>$E$130/$Q$131*100</f>
        <v>#VALUE!</v>
      </c>
      <c r="F131" s="65" t="e">
        <f>E131</f>
        <v>#VALUE!</v>
      </c>
      <c r="G131" s="65" t="e">
        <f>F131</f>
        <v>#VALUE!</v>
      </c>
      <c r="H131" s="65" t="e">
        <f>G131</f>
        <v>#VALUE!</v>
      </c>
      <c r="J131" s="6" t="s">
        <v>280</v>
      </c>
      <c r="M131" s="12">
        <v>2025</v>
      </c>
      <c r="O131" s="61">
        <v>0.2</v>
      </c>
      <c r="P131" t="s">
        <v>281</v>
      </c>
      <c r="Q131" s="62">
        <v>2257.4148560386502</v>
      </c>
      <c r="R131" t="s">
        <v>282</v>
      </c>
    </row>
    <row r="132" spans="1:20" customFormat="1" ht="17.25" thickTop="1" x14ac:dyDescent="0.3">
      <c r="A132" s="17"/>
      <c r="B132" s="3"/>
      <c r="C132" s="15" t="s">
        <v>16</v>
      </c>
      <c r="D132" s="36" t="s">
        <v>36</v>
      </c>
      <c r="E132" s="60" t="str">
        <f>'Data Input'!D36</f>
        <v/>
      </c>
      <c r="F132" s="63"/>
      <c r="G132" s="63"/>
      <c r="H132" s="63"/>
      <c r="M132" s="9"/>
    </row>
    <row r="133" spans="1:20" customFormat="1" ht="17.25" thickBot="1" x14ac:dyDescent="0.35">
      <c r="A133" s="17"/>
      <c r="B133" s="3"/>
      <c r="C133" s="70" t="s">
        <v>16</v>
      </c>
      <c r="D133" s="52" t="s">
        <v>38</v>
      </c>
      <c r="E133" s="64" t="e">
        <f>$E132/4800*100</f>
        <v>#VALUE!</v>
      </c>
      <c r="F133" s="65" t="e">
        <f>$E132/4800*100</f>
        <v>#VALUE!</v>
      </c>
      <c r="G133" s="65" t="e">
        <f>$E132/4800*100</f>
        <v>#VALUE!</v>
      </c>
      <c r="H133" s="65" t="e">
        <f>$E132/4800*100</f>
        <v>#VALUE!</v>
      </c>
      <c r="J133" t="s">
        <v>283</v>
      </c>
      <c r="M133" s="12" t="s">
        <v>284</v>
      </c>
    </row>
    <row r="134" spans="1:20" customFormat="1" ht="17.25" thickTop="1" x14ac:dyDescent="0.3">
      <c r="A134" s="17"/>
      <c r="B134" s="3"/>
      <c r="C134" s="15" t="s">
        <v>17</v>
      </c>
      <c r="D134" s="36" t="s">
        <v>36</v>
      </c>
      <c r="E134" s="60" t="str">
        <f>'Data Input'!D37</f>
        <v/>
      </c>
      <c r="F134" s="63"/>
      <c r="G134" s="63"/>
      <c r="H134" s="63"/>
      <c r="M134" s="1"/>
    </row>
    <row r="135" spans="1:20" customFormat="1" ht="17.25" thickBot="1" x14ac:dyDescent="0.35">
      <c r="A135" s="17"/>
      <c r="B135" s="3"/>
      <c r="C135" s="70" t="s">
        <v>17</v>
      </c>
      <c r="D135" s="52" t="s">
        <v>38</v>
      </c>
      <c r="E135" s="64" t="e">
        <f>E134/O135*100/1000</f>
        <v>#VALUE!</v>
      </c>
      <c r="F135" s="65" t="e">
        <f>E135</f>
        <v>#VALUE!</v>
      </c>
      <c r="G135" s="65" t="e">
        <f>F135</f>
        <v>#VALUE!</v>
      </c>
      <c r="H135" s="65" t="e">
        <f>G135</f>
        <v>#VALUE!</v>
      </c>
      <c r="J135" s="6" t="s">
        <v>285</v>
      </c>
      <c r="M135" s="1">
        <v>46062</v>
      </c>
      <c r="O135" s="61">
        <f>19.3/3.6</f>
        <v>5.3611111111111116</v>
      </c>
      <c r="P135" t="s">
        <v>286</v>
      </c>
    </row>
    <row r="136" spans="1:20" customFormat="1" ht="17.25" thickTop="1" x14ac:dyDescent="0.3">
      <c r="A136" s="17"/>
      <c r="B136" s="3"/>
      <c r="C136" s="15" t="s">
        <v>18</v>
      </c>
      <c r="D136" s="36" t="s">
        <v>37</v>
      </c>
      <c r="E136" s="60" t="str">
        <f>'Data Input'!D38</f>
        <v/>
      </c>
      <c r="F136" s="63"/>
      <c r="G136" s="63"/>
      <c r="H136" s="63"/>
      <c r="M136" s="1"/>
    </row>
    <row r="137" spans="1:20" customFormat="1" ht="17.25" thickBot="1" x14ac:dyDescent="0.35">
      <c r="A137" s="17"/>
      <c r="B137" s="3"/>
      <c r="C137" s="70" t="s">
        <v>18</v>
      </c>
      <c r="D137" s="52" t="s">
        <v>38</v>
      </c>
      <c r="E137" s="64" t="e">
        <f>$E136/100*100/($Q$137*$O$137)</f>
        <v>#VALUE!</v>
      </c>
      <c r="F137" s="65" t="e">
        <f>$E136/100*100/($Q$137*$O$137)</f>
        <v>#VALUE!</v>
      </c>
      <c r="G137" s="65" t="e">
        <f>$E136/100*100/($Q$137*$O$137)</f>
        <v>#VALUE!</v>
      </c>
      <c r="H137" s="65" t="e">
        <f>$E136/100*100/($Q$137*$O$137)</f>
        <v>#VALUE!</v>
      </c>
      <c r="J137" t="s">
        <v>287</v>
      </c>
      <c r="M137" s="1">
        <v>46062</v>
      </c>
      <c r="N137" t="s">
        <v>288</v>
      </c>
      <c r="O137" s="61">
        <v>0.54</v>
      </c>
      <c r="P137" t="s">
        <v>289</v>
      </c>
      <c r="Q137" s="61">
        <v>12.81</v>
      </c>
      <c r="R137" t="s">
        <v>290</v>
      </c>
      <c r="S137" s="4">
        <f>Q137*O137</f>
        <v>6.9174000000000007</v>
      </c>
      <c r="T137" t="s">
        <v>291</v>
      </c>
    </row>
    <row r="138" spans="1:20" customFormat="1" ht="17.25" thickTop="1" x14ac:dyDescent="0.3">
      <c r="A138" s="17"/>
      <c r="B138" s="3"/>
      <c r="C138" s="15" t="s">
        <v>19</v>
      </c>
      <c r="D138" s="36" t="s">
        <v>37</v>
      </c>
      <c r="E138" s="60" t="str">
        <f>'Data Input'!D39</f>
        <v/>
      </c>
      <c r="F138" s="4"/>
      <c r="G138" s="4"/>
      <c r="H138" s="4"/>
      <c r="M138" s="1"/>
    </row>
    <row r="139" spans="1:20" customFormat="1" ht="17.25" thickBot="1" x14ac:dyDescent="0.35">
      <c r="A139" s="17"/>
      <c r="B139" s="3"/>
      <c r="C139" s="70" t="s">
        <v>19</v>
      </c>
      <c r="D139" s="52" t="s">
        <v>38</v>
      </c>
      <c r="E139" s="64" t="e">
        <f>$E138/1000*100</f>
        <v>#VALUE!</v>
      </c>
      <c r="F139" s="65" t="e">
        <f>$E138/1000*100</f>
        <v>#VALUE!</v>
      </c>
      <c r="G139" s="65" t="e">
        <f>$E138/1000*100</f>
        <v>#VALUE!</v>
      </c>
      <c r="H139" s="65" t="e">
        <f>$E138/1000*100</f>
        <v>#VALUE!</v>
      </c>
      <c r="J139" t="s">
        <v>292</v>
      </c>
      <c r="M139" s="1">
        <v>46062</v>
      </c>
    </row>
    <row r="140" spans="1:20" customFormat="1" ht="18" thickTop="1" thickBot="1" x14ac:dyDescent="0.35">
      <c r="A140" s="17"/>
      <c r="B140" s="3"/>
      <c r="C140" s="68" t="s">
        <v>20</v>
      </c>
      <c r="D140" s="71" t="s">
        <v>38</v>
      </c>
      <c r="E140" s="60" t="str">
        <f>'Data Input'!D40</f>
        <v/>
      </c>
      <c r="F140" s="60" t="str">
        <f>'Data Input'!D40</f>
        <v/>
      </c>
      <c r="G140" s="60" t="str">
        <f>'Data Input'!D40</f>
        <v/>
      </c>
      <c r="H140" s="60" t="str">
        <f>'Data Input'!D40</f>
        <v/>
      </c>
      <c r="I140" s="17"/>
      <c r="J140" s="6" t="s">
        <v>293</v>
      </c>
      <c r="M140" s="1">
        <v>46062</v>
      </c>
    </row>
    <row r="141" spans="1:20" ht="18" thickTop="1" thickBot="1" x14ac:dyDescent="0.35">
      <c r="C141" s="15" t="s">
        <v>294</v>
      </c>
      <c r="D141" s="71" t="s">
        <v>38</v>
      </c>
      <c r="E141" s="60" t="str">
        <f>'Data Input'!D41</f>
        <v/>
      </c>
      <c r="F141" s="60" t="str">
        <f>'Data Input'!D41</f>
        <v/>
      </c>
      <c r="G141" s="60" t="str">
        <f>'Data Input'!D41</f>
        <v/>
      </c>
      <c r="H141" s="60" t="str">
        <f>'Data Input'!D41</f>
        <v/>
      </c>
    </row>
    <row r="142" spans="1:20" ht="18" thickTop="1" thickBot="1" x14ac:dyDescent="0.35">
      <c r="C142" s="15" t="s">
        <v>295</v>
      </c>
      <c r="D142" s="71" t="s">
        <v>38</v>
      </c>
      <c r="E142" s="60" t="str">
        <f>'Data Input'!D41</f>
        <v/>
      </c>
      <c r="F142" s="60" t="str">
        <f>'Data Input'!D41</f>
        <v/>
      </c>
      <c r="G142" s="60" t="str">
        <f>'Data Input'!D41</f>
        <v/>
      </c>
      <c r="H142" s="60" t="str">
        <f>'Data Input'!D41</f>
        <v/>
      </c>
    </row>
    <row r="143" spans="1:20" ht="17.25" thickTop="1" x14ac:dyDescent="0.3"/>
    <row r="144" spans="1:20" ht="17.25" thickBot="1" x14ac:dyDescent="0.35">
      <c r="C144" s="15" t="s">
        <v>296</v>
      </c>
      <c r="D144" s="71" t="s">
        <v>191</v>
      </c>
      <c r="E144" s="42">
        <f>'eDevices_general+behavior'!E35</f>
        <v>3728.8824322828013</v>
      </c>
      <c r="F144" s="42">
        <f>'eDevices_general+behavior'!F35</f>
        <v>3689.8871192859588</v>
      </c>
      <c r="G144" s="42">
        <f>'eDevices_general+behavior'!G35</f>
        <v>2523.2013432143917</v>
      </c>
      <c r="H144" s="42">
        <f>'eDevices_general+behavior'!H35</f>
        <v>2497.3134020074035</v>
      </c>
    </row>
    <row r="145" spans="3:10" ht="18" thickTop="1" thickBot="1" x14ac:dyDescent="0.35">
      <c r="C145" s="15" t="s">
        <v>297</v>
      </c>
      <c r="D145" s="71" t="s">
        <v>191</v>
      </c>
      <c r="E145" s="42">
        <f>E118+E144</f>
        <v>13094.217065387202</v>
      </c>
      <c r="F145" s="42">
        <f>F118+F144</f>
        <v>7620.2949338642384</v>
      </c>
      <c r="G145" s="42">
        <f>G118+G144</f>
        <v>6608.3570751211191</v>
      </c>
      <c r="H145" s="42">
        <f>H118+H144</f>
        <v>4961.4454648374594</v>
      </c>
    </row>
    <row r="146" spans="3:10" ht="18" thickTop="1" thickBot="1" x14ac:dyDescent="0.35"/>
    <row r="147" spans="3:10" ht="17.25" thickTop="1" x14ac:dyDescent="0.3">
      <c r="C147" s="27" t="s">
        <v>298</v>
      </c>
      <c r="D147" s="22"/>
      <c r="E147" s="23"/>
      <c r="F147" s="24"/>
    </row>
    <row r="148" spans="3:10" x14ac:dyDescent="0.3">
      <c r="C148" s="20" t="s">
        <v>14</v>
      </c>
      <c r="D148" s="15" t="s">
        <v>299</v>
      </c>
      <c r="E148" s="42" t="e">
        <f>E126+E128+E127/10*E48/100</f>
        <v>#VALUE!</v>
      </c>
      <c r="F148" s="42" t="e">
        <f>F126+F128+F127/10*F48/100</f>
        <v>#VALUE!</v>
      </c>
      <c r="G148" s="42" t="e">
        <f>G126+G128+G127/10*G48/100</f>
        <v>#VALUE!</v>
      </c>
      <c r="H148" s="42" t="e">
        <f>H126+H128+H127/10*H48/100</f>
        <v>#VALUE!</v>
      </c>
      <c r="J148" s="206"/>
    </row>
    <row r="149" spans="3:10" x14ac:dyDescent="0.3">
      <c r="C149" s="14" t="s">
        <v>15</v>
      </c>
      <c r="D149" s="15" t="s">
        <v>299</v>
      </c>
      <c r="E149" s="42" t="e">
        <f>E49*E131/100</f>
        <v>#VALUE!</v>
      </c>
      <c r="F149" s="42" t="e">
        <f>F49*F131/100</f>
        <v>#VALUE!</v>
      </c>
      <c r="G149" s="42" t="e">
        <f>G49*G131/100</f>
        <v>#VALUE!</v>
      </c>
      <c r="H149" s="42" t="e">
        <f>H49*H131/100</f>
        <v>#VALUE!</v>
      </c>
      <c r="J149" s="26"/>
    </row>
    <row r="150" spans="3:10" x14ac:dyDescent="0.3">
      <c r="C150" s="15" t="s">
        <v>16</v>
      </c>
      <c r="D150" s="15" t="s">
        <v>299</v>
      </c>
      <c r="E150" s="42" t="e">
        <f>E50*E133/100</f>
        <v>#VALUE!</v>
      </c>
      <c r="F150" s="42" t="e">
        <f>F50*F133/100</f>
        <v>#VALUE!</v>
      </c>
      <c r="G150" s="42" t="e">
        <f>G50*G133/100</f>
        <v>#VALUE!</v>
      </c>
      <c r="H150" s="42" t="e">
        <f>H50*H133/100</f>
        <v>#VALUE!</v>
      </c>
      <c r="J150" s="26"/>
    </row>
    <row r="151" spans="3:10" x14ac:dyDescent="0.3">
      <c r="C151" s="15" t="s">
        <v>17</v>
      </c>
      <c r="D151" s="15" t="s">
        <v>299</v>
      </c>
      <c r="E151" s="42" t="e">
        <f>E51*E135/100</f>
        <v>#VALUE!</v>
      </c>
      <c r="F151" s="42" t="e">
        <f>F51*F135/100</f>
        <v>#VALUE!</v>
      </c>
      <c r="G151" s="42" t="e">
        <f>G51*G135/100</f>
        <v>#VALUE!</v>
      </c>
      <c r="H151" s="42" t="e">
        <f>H51*H135/100</f>
        <v>#VALUE!</v>
      </c>
      <c r="J151" s="26"/>
    </row>
    <row r="152" spans="3:10" x14ac:dyDescent="0.3">
      <c r="C152" s="15" t="s">
        <v>18</v>
      </c>
      <c r="D152" s="15" t="s">
        <v>299</v>
      </c>
      <c r="E152" s="42" t="e">
        <f>E52*E137/100</f>
        <v>#VALUE!</v>
      </c>
      <c r="F152" s="42" t="e">
        <f>F52*F137/100</f>
        <v>#VALUE!</v>
      </c>
      <c r="G152" s="42" t="e">
        <f>G52*G137/100</f>
        <v>#VALUE!</v>
      </c>
      <c r="H152" s="42" t="e">
        <f>H52*H137/100</f>
        <v>#VALUE!</v>
      </c>
      <c r="J152" s="26"/>
    </row>
    <row r="153" spans="3:10" x14ac:dyDescent="0.3">
      <c r="C153" s="15" t="s">
        <v>19</v>
      </c>
      <c r="D153" s="15" t="s">
        <v>299</v>
      </c>
      <c r="E153" s="42" t="e">
        <f t="shared" ref="E153:H156" si="15">E53*E139/100</f>
        <v>#VALUE!</v>
      </c>
      <c r="F153" s="42" t="e">
        <f t="shared" si="15"/>
        <v>#VALUE!</v>
      </c>
      <c r="G153" s="42" t="e">
        <f t="shared" si="15"/>
        <v>#VALUE!</v>
      </c>
      <c r="H153" s="42" t="e">
        <f t="shared" si="15"/>
        <v>#VALUE!</v>
      </c>
      <c r="J153" s="26"/>
    </row>
    <row r="154" spans="3:10" ht="15.95" customHeight="1" x14ac:dyDescent="0.3">
      <c r="C154" s="14" t="s">
        <v>20</v>
      </c>
      <c r="D154" s="15" t="s">
        <v>299</v>
      </c>
      <c r="E154" s="42" t="e">
        <f t="shared" si="15"/>
        <v>#VALUE!</v>
      </c>
      <c r="F154" s="42" t="e">
        <f t="shared" si="15"/>
        <v>#VALUE!</v>
      </c>
      <c r="G154" s="42" t="e">
        <f t="shared" si="15"/>
        <v>#VALUE!</v>
      </c>
      <c r="H154" s="42" t="e">
        <f t="shared" si="15"/>
        <v>#VALUE!</v>
      </c>
      <c r="J154" s="26"/>
    </row>
    <row r="155" spans="3:10" ht="15.95" customHeight="1" x14ac:dyDescent="0.3">
      <c r="C155" s="14" t="s">
        <v>21</v>
      </c>
      <c r="D155" s="15" t="s">
        <v>299</v>
      </c>
      <c r="E155" s="42" t="e">
        <f t="shared" si="15"/>
        <v>#VALUE!</v>
      </c>
      <c r="F155" s="42" t="e">
        <f t="shared" si="15"/>
        <v>#VALUE!</v>
      </c>
      <c r="G155" s="42" t="e">
        <f t="shared" si="15"/>
        <v>#VALUE!</v>
      </c>
      <c r="H155" s="42" t="e">
        <f t="shared" si="15"/>
        <v>#VALUE!</v>
      </c>
      <c r="J155" s="26"/>
    </row>
    <row r="156" spans="3:10" x14ac:dyDescent="0.3">
      <c r="C156" s="14" t="s">
        <v>22</v>
      </c>
      <c r="D156" s="15" t="s">
        <v>299</v>
      </c>
      <c r="E156" s="42" t="e">
        <f>E56*E142/100</f>
        <v>#VALUE!</v>
      </c>
      <c r="F156" s="42" t="e">
        <f t="shared" si="15"/>
        <v>#VALUE!</v>
      </c>
      <c r="G156" s="42" t="e">
        <f t="shared" si="15"/>
        <v>#VALUE!</v>
      </c>
      <c r="H156" s="42" t="e">
        <f>H56*H142/100</f>
        <v>#VALUE!</v>
      </c>
      <c r="J156" s="26" t="s">
        <v>39</v>
      </c>
    </row>
    <row r="157" spans="3:10" x14ac:dyDescent="0.3">
      <c r="C157" s="36"/>
      <c r="D157" s="36"/>
      <c r="E157" s="55"/>
      <c r="F157" s="55"/>
      <c r="G157" s="55"/>
      <c r="H157" s="55"/>
      <c r="J157" s="26"/>
    </row>
    <row r="158" spans="3:10" x14ac:dyDescent="0.3">
      <c r="C158" s="51" t="s">
        <v>300</v>
      </c>
    </row>
    <row r="159" spans="3:10" x14ac:dyDescent="0.3">
      <c r="C159" s="20" t="s">
        <v>14</v>
      </c>
      <c r="D159" s="15" t="s">
        <v>301</v>
      </c>
      <c r="E159" s="93">
        <v>2.5000000000000001E-2</v>
      </c>
      <c r="F159" s="94"/>
      <c r="G159" s="94"/>
      <c r="H159" s="94"/>
    </row>
    <row r="160" spans="3:10" x14ac:dyDescent="0.3">
      <c r="C160" s="14" t="s">
        <v>15</v>
      </c>
      <c r="D160" s="15" t="s">
        <v>301</v>
      </c>
      <c r="E160" s="93">
        <v>0.02</v>
      </c>
      <c r="F160" s="94"/>
      <c r="G160" s="94"/>
      <c r="H160" s="94"/>
    </row>
    <row r="161" spans="3:10" x14ac:dyDescent="0.3">
      <c r="C161" s="15" t="s">
        <v>16</v>
      </c>
      <c r="D161" s="15" t="s">
        <v>301</v>
      </c>
      <c r="E161" s="93">
        <v>2.5000000000000001E-2</v>
      </c>
      <c r="F161" s="94"/>
      <c r="G161" s="94"/>
      <c r="H161" s="94"/>
    </row>
    <row r="162" spans="3:10" x14ac:dyDescent="0.3">
      <c r="C162" s="15" t="s">
        <v>17</v>
      </c>
      <c r="D162" s="15" t="s">
        <v>301</v>
      </c>
      <c r="E162" s="93">
        <v>2.5000000000000001E-2</v>
      </c>
      <c r="F162" s="94"/>
      <c r="G162" s="94"/>
      <c r="H162" s="94"/>
    </row>
    <row r="163" spans="3:10" x14ac:dyDescent="0.3">
      <c r="C163" s="15" t="s">
        <v>18</v>
      </c>
      <c r="D163" s="15" t="s">
        <v>301</v>
      </c>
      <c r="E163" s="93">
        <v>2.5000000000000001E-2</v>
      </c>
      <c r="F163" s="94"/>
      <c r="G163" s="94"/>
      <c r="H163" s="94"/>
    </row>
    <row r="164" spans="3:10" x14ac:dyDescent="0.3">
      <c r="C164" s="15" t="s">
        <v>19</v>
      </c>
      <c r="D164" s="15" t="s">
        <v>301</v>
      </c>
      <c r="E164" s="93">
        <v>2.5000000000000001E-2</v>
      </c>
      <c r="F164" s="94"/>
      <c r="G164" s="94"/>
      <c r="H164" s="94"/>
    </row>
    <row r="165" spans="3:10" x14ac:dyDescent="0.3">
      <c r="C165" s="14" t="s">
        <v>20</v>
      </c>
      <c r="D165" s="15" t="s">
        <v>301</v>
      </c>
      <c r="E165" s="93">
        <v>2.9000000000000001E-2</v>
      </c>
      <c r="F165" s="94"/>
      <c r="G165" s="94"/>
      <c r="H165" s="94"/>
    </row>
    <row r="166" spans="3:10" x14ac:dyDescent="0.3">
      <c r="C166" s="14" t="s">
        <v>21</v>
      </c>
      <c r="D166" s="15" t="s">
        <v>301</v>
      </c>
      <c r="E166" s="93">
        <v>2.5000000000000001E-2</v>
      </c>
      <c r="F166" s="94"/>
      <c r="G166" s="94"/>
      <c r="H166" s="94"/>
    </row>
    <row r="167" spans="3:10" x14ac:dyDescent="0.3">
      <c r="C167" s="14" t="s">
        <v>22</v>
      </c>
      <c r="D167" s="15" t="s">
        <v>301</v>
      </c>
      <c r="E167" s="98">
        <f>E166</f>
        <v>2.5000000000000001E-2</v>
      </c>
      <c r="F167" s="94"/>
      <c r="G167" s="94"/>
      <c r="H167" s="94"/>
    </row>
    <row r="169" spans="3:10" x14ac:dyDescent="0.3">
      <c r="C169" s="15" t="s">
        <v>302</v>
      </c>
      <c r="D169" s="15" t="s">
        <v>301</v>
      </c>
      <c r="E169" s="93">
        <v>0.04</v>
      </c>
      <c r="F169" s="94"/>
      <c r="G169" s="94"/>
      <c r="H169" s="94"/>
    </row>
    <row r="170" spans="3:10" x14ac:dyDescent="0.3">
      <c r="C170" s="15" t="s">
        <v>303</v>
      </c>
      <c r="D170" s="15" t="s">
        <v>301</v>
      </c>
      <c r="E170" s="93">
        <v>0.03</v>
      </c>
      <c r="F170" s="94"/>
      <c r="G170" s="94"/>
      <c r="H170" s="94"/>
    </row>
    <row r="171" spans="3:10" x14ac:dyDescent="0.3">
      <c r="C171" s="15" t="s">
        <v>304</v>
      </c>
      <c r="D171" s="15" t="s">
        <v>301</v>
      </c>
      <c r="E171" s="93">
        <v>0.02</v>
      </c>
      <c r="F171" s="94"/>
      <c r="G171" s="94"/>
      <c r="H171" s="94"/>
    </row>
    <row r="173" spans="3:10" x14ac:dyDescent="0.3">
      <c r="C173" s="51" t="s">
        <v>305</v>
      </c>
      <c r="D173" s="15" t="s">
        <v>306</v>
      </c>
      <c r="J173" s="6" t="s">
        <v>307</v>
      </c>
    </row>
    <row r="174" spans="3:10" x14ac:dyDescent="0.3">
      <c r="C174" s="127"/>
      <c r="D174" s="15"/>
      <c r="E174" s="42" t="s">
        <v>308</v>
      </c>
      <c r="F174" s="42" t="s">
        <v>309</v>
      </c>
      <c r="G174" s="42" t="s">
        <v>310</v>
      </c>
      <c r="H174" s="42" t="s">
        <v>311</v>
      </c>
    </row>
    <row r="175" spans="3:10" x14ac:dyDescent="0.3">
      <c r="C175" s="127">
        <v>2026</v>
      </c>
      <c r="D175" s="15" t="s">
        <v>312</v>
      </c>
      <c r="E175" s="42">
        <v>182</v>
      </c>
      <c r="F175" s="42">
        <f>E175*G175</f>
        <v>182</v>
      </c>
      <c r="G175" s="99">
        <v>1</v>
      </c>
      <c r="H175" s="42">
        <v>1</v>
      </c>
    </row>
    <row r="176" spans="3:10" x14ac:dyDescent="0.3">
      <c r="C176" s="127">
        <v>2027</v>
      </c>
      <c r="D176" s="15" t="s">
        <v>312</v>
      </c>
      <c r="E176" s="42">
        <v>199</v>
      </c>
      <c r="F176" s="42">
        <f>E176*G176</f>
        <v>193.20388349514565</v>
      </c>
      <c r="G176" s="99">
        <f>G175*(1+$E$170)^-1</f>
        <v>0.970873786407767</v>
      </c>
      <c r="H176" s="42">
        <v>2</v>
      </c>
    </row>
    <row r="177" spans="3:8" x14ac:dyDescent="0.3">
      <c r="C177" s="127">
        <v>2028</v>
      </c>
      <c r="D177" s="15" t="s">
        <v>312</v>
      </c>
      <c r="E177" s="42">
        <v>216</v>
      </c>
      <c r="F177" s="42">
        <f t="shared" ref="F177:F199" si="16">E177*G177</f>
        <v>203.60071637289093</v>
      </c>
      <c r="G177" s="99">
        <f t="shared" ref="G177:G199" si="17">G176*(1+$E$170)^-1</f>
        <v>0.94259590913375435</v>
      </c>
      <c r="H177" s="42">
        <v>3</v>
      </c>
    </row>
    <row r="178" spans="3:8" x14ac:dyDescent="0.3">
      <c r="C178" s="127">
        <v>2029</v>
      </c>
      <c r="D178" s="15" t="s">
        <v>312</v>
      </c>
      <c r="E178" s="42">
        <v>233</v>
      </c>
      <c r="F178" s="42">
        <f t="shared" si="16"/>
        <v>213.2280066292862</v>
      </c>
      <c r="G178" s="99">
        <f t="shared" si="17"/>
        <v>0.91514165935315961</v>
      </c>
      <c r="H178" s="42">
        <v>4</v>
      </c>
    </row>
    <row r="179" spans="3:8" x14ac:dyDescent="0.3">
      <c r="C179" s="127">
        <v>2030</v>
      </c>
      <c r="D179" s="15" t="s">
        <v>312</v>
      </c>
      <c r="E179" s="42">
        <v>250</v>
      </c>
      <c r="F179" s="42">
        <f t="shared" si="16"/>
        <v>222.12176197892225</v>
      </c>
      <c r="G179" s="99">
        <f t="shared" si="17"/>
        <v>0.888487047915689</v>
      </c>
      <c r="H179" s="42">
        <v>5</v>
      </c>
    </row>
    <row r="180" spans="3:8" x14ac:dyDescent="0.3">
      <c r="C180" s="127">
        <v>2031</v>
      </c>
      <c r="D180" s="15" t="s">
        <v>312</v>
      </c>
      <c r="E180" s="42">
        <v>278</v>
      </c>
      <c r="F180" s="42">
        <f t="shared" si="16"/>
        <v>239.80524205879763</v>
      </c>
      <c r="G180" s="99">
        <f t="shared" si="17"/>
        <v>0.86260878438416411</v>
      </c>
      <c r="H180" s="42">
        <v>6</v>
      </c>
    </row>
    <row r="181" spans="3:8" x14ac:dyDescent="0.3">
      <c r="C181" s="127">
        <v>2032</v>
      </c>
      <c r="D181" s="15" t="s">
        <v>312</v>
      </c>
      <c r="E181" s="42">
        <v>306</v>
      </c>
      <c r="F181" s="42">
        <f t="shared" si="16"/>
        <v>256.27018254519828</v>
      </c>
      <c r="G181" s="99">
        <f t="shared" si="17"/>
        <v>0.83748425668365445</v>
      </c>
      <c r="H181" s="42">
        <v>7</v>
      </c>
    </row>
    <row r="182" spans="3:8" x14ac:dyDescent="0.3">
      <c r="C182" s="127">
        <v>2033</v>
      </c>
      <c r="D182" s="15" t="s">
        <v>312</v>
      </c>
      <c r="E182" s="42">
        <v>334</v>
      </c>
      <c r="F182" s="42">
        <f t="shared" si="16"/>
        <v>271.57256478868021</v>
      </c>
      <c r="G182" s="99">
        <f t="shared" si="17"/>
        <v>0.81309151134335389</v>
      </c>
      <c r="H182" s="42">
        <v>8</v>
      </c>
    </row>
    <row r="183" spans="3:8" x14ac:dyDescent="0.3">
      <c r="C183" s="127">
        <v>2034</v>
      </c>
      <c r="D183" s="15" t="s">
        <v>312</v>
      </c>
      <c r="E183" s="42">
        <v>362</v>
      </c>
      <c r="F183" s="42">
        <f t="shared" si="16"/>
        <v>285.76614282164479</v>
      </c>
      <c r="G183" s="99">
        <f t="shared" si="17"/>
        <v>0.78940923431393584</v>
      </c>
      <c r="H183" s="42">
        <v>9</v>
      </c>
    </row>
    <row r="184" spans="3:8" x14ac:dyDescent="0.3">
      <c r="C184" s="127">
        <v>2035</v>
      </c>
      <c r="D184" s="15" t="s">
        <v>312</v>
      </c>
      <c r="E184" s="42">
        <v>390</v>
      </c>
      <c r="F184" s="42">
        <f t="shared" si="16"/>
        <v>298.90252561401456</v>
      </c>
      <c r="G184" s="99">
        <f t="shared" si="17"/>
        <v>0.76641673234362706</v>
      </c>
      <c r="H184" s="42">
        <v>10</v>
      </c>
    </row>
    <row r="185" spans="3:8" x14ac:dyDescent="0.3">
      <c r="C185" s="127">
        <v>2036</v>
      </c>
      <c r="D185" s="15" t="s">
        <v>312</v>
      </c>
      <c r="E185" s="42">
        <v>417</v>
      </c>
      <c r="F185" s="42">
        <f t="shared" si="16"/>
        <v>310.28716251193441</v>
      </c>
      <c r="G185" s="99">
        <f t="shared" si="17"/>
        <v>0.74409391489672527</v>
      </c>
      <c r="H185" s="42">
        <v>11</v>
      </c>
    </row>
    <row r="186" spans="3:8" x14ac:dyDescent="0.3">
      <c r="C186" s="127">
        <v>2037</v>
      </c>
      <c r="D186" s="15" t="s">
        <v>312</v>
      </c>
      <c r="E186" s="42">
        <v>444</v>
      </c>
      <c r="F186" s="42">
        <f t="shared" si="16"/>
        <v>320.75504680985051</v>
      </c>
      <c r="G186" s="99">
        <f t="shared" si="17"/>
        <v>0.72242127659876243</v>
      </c>
      <c r="H186" s="42">
        <v>12</v>
      </c>
    </row>
    <row r="187" spans="3:8" x14ac:dyDescent="0.3">
      <c r="C187" s="127">
        <v>2038</v>
      </c>
      <c r="D187" s="15" t="s">
        <v>312</v>
      </c>
      <c r="E187" s="42">
        <v>471</v>
      </c>
      <c r="F187" s="42">
        <f t="shared" si="16"/>
        <v>330.34992357089038</v>
      </c>
      <c r="G187" s="99">
        <f t="shared" si="17"/>
        <v>0.70137988019297326</v>
      </c>
      <c r="H187" s="42">
        <v>13</v>
      </c>
    </row>
    <row r="188" spans="3:8" x14ac:dyDescent="0.3">
      <c r="C188" s="127">
        <v>2039</v>
      </c>
      <c r="D188" s="15" t="s">
        <v>312</v>
      </c>
      <c r="E188" s="42">
        <v>498</v>
      </c>
      <c r="F188" s="42">
        <f t="shared" si="16"/>
        <v>339.1137673166026</v>
      </c>
      <c r="G188" s="99">
        <f t="shared" si="17"/>
        <v>0.68095133999317792</v>
      </c>
      <c r="H188" s="42">
        <v>14</v>
      </c>
    </row>
    <row r="189" spans="3:8" x14ac:dyDescent="0.3">
      <c r="C189" s="127">
        <v>2040</v>
      </c>
      <c r="D189" s="15" t="s">
        <v>312</v>
      </c>
      <c r="E189" s="42">
        <v>525</v>
      </c>
      <c r="F189" s="42">
        <f t="shared" si="16"/>
        <v>347.08684805477515</v>
      </c>
      <c r="G189" s="99">
        <f t="shared" si="17"/>
        <v>0.66111780581861934</v>
      </c>
      <c r="H189" s="42">
        <v>15</v>
      </c>
    </row>
    <row r="190" spans="3:8" x14ac:dyDescent="0.3">
      <c r="C190" s="127">
        <v>2041</v>
      </c>
      <c r="D190" s="15" t="s">
        <v>312</v>
      </c>
      <c r="E190" s="42">
        <v>552</v>
      </c>
      <c r="F190" s="42">
        <f t="shared" si="16"/>
        <v>354.30779496298828</v>
      </c>
      <c r="G190" s="99">
        <f t="shared" si="17"/>
        <v>0.64186194739671787</v>
      </c>
      <c r="H190" s="42">
        <v>16</v>
      </c>
    </row>
    <row r="191" spans="3:8" x14ac:dyDescent="0.3">
      <c r="C191" s="127">
        <v>2042</v>
      </c>
      <c r="D191" s="15" t="s">
        <v>312</v>
      </c>
      <c r="E191" s="42">
        <v>579</v>
      </c>
      <c r="F191" s="42">
        <f t="shared" si="16"/>
        <v>360.81365780844629</v>
      </c>
      <c r="G191" s="99">
        <f t="shared" si="17"/>
        <v>0.62316693922011446</v>
      </c>
      <c r="H191" s="42">
        <v>17</v>
      </c>
    </row>
    <row r="192" spans="3:8" x14ac:dyDescent="0.3">
      <c r="C192" s="127">
        <v>2043</v>
      </c>
      <c r="D192" s="15" t="s">
        <v>312</v>
      </c>
      <c r="E192" s="42">
        <v>606</v>
      </c>
      <c r="F192" s="42">
        <f t="shared" si="16"/>
        <v>366.63996618193141</v>
      </c>
      <c r="G192" s="99">
        <f t="shared" si="17"/>
        <v>0.60501644584477132</v>
      </c>
      <c r="H192" s="42">
        <v>18</v>
      </c>
    </row>
    <row r="193" spans="3:8" x14ac:dyDescent="0.3">
      <c r="C193" s="127">
        <v>2044</v>
      </c>
      <c r="D193" s="15" t="s">
        <v>312</v>
      </c>
      <c r="E193" s="42">
        <v>633</v>
      </c>
      <c r="F193" s="42">
        <f t="shared" si="16"/>
        <v>371.820786621107</v>
      </c>
      <c r="G193" s="99">
        <f t="shared" si="17"/>
        <v>0.58739460761628282</v>
      </c>
      <c r="H193" s="42">
        <v>19</v>
      </c>
    </row>
    <row r="194" spans="3:8" x14ac:dyDescent="0.3">
      <c r="C194" s="127">
        <v>2045</v>
      </c>
      <c r="D194" s="15" t="s">
        <v>312</v>
      </c>
      <c r="E194" s="42">
        <v>660</v>
      </c>
      <c r="F194" s="42">
        <f t="shared" si="16"/>
        <v>376.38877769587054</v>
      </c>
      <c r="G194" s="99">
        <f t="shared" si="17"/>
        <v>0.57028602681192508</v>
      </c>
      <c r="H194" s="42">
        <v>20</v>
      </c>
    </row>
    <row r="195" spans="3:8" x14ac:dyDescent="0.3">
      <c r="C195" s="127">
        <v>2046</v>
      </c>
      <c r="D195" s="15" t="s">
        <v>312</v>
      </c>
      <c r="E195" s="42">
        <v>688</v>
      </c>
      <c r="F195" s="42">
        <f t="shared" si="16"/>
        <v>380.92891888019852</v>
      </c>
      <c r="G195" s="99">
        <f t="shared" si="17"/>
        <v>0.55367575418633508</v>
      </c>
      <c r="H195" s="42">
        <v>21</v>
      </c>
    </row>
    <row r="196" spans="3:8" x14ac:dyDescent="0.3">
      <c r="C196" s="127">
        <v>2047</v>
      </c>
      <c r="D196" s="15" t="s">
        <v>312</v>
      </c>
      <c r="E196" s="42">
        <v>716</v>
      </c>
      <c r="F196" s="42">
        <f t="shared" si="16"/>
        <v>384.88528155088926</v>
      </c>
      <c r="G196" s="99">
        <f t="shared" si="17"/>
        <v>0.53754927590906321</v>
      </c>
      <c r="H196" s="42">
        <v>22</v>
      </c>
    </row>
    <row r="197" spans="3:8" x14ac:dyDescent="0.3">
      <c r="C197" s="127">
        <v>2048</v>
      </c>
      <c r="D197" s="15" t="s">
        <v>312</v>
      </c>
      <c r="E197" s="42">
        <v>744</v>
      </c>
      <c r="F197" s="42">
        <f t="shared" si="16"/>
        <v>388.28802065664371</v>
      </c>
      <c r="G197" s="99">
        <f t="shared" si="17"/>
        <v>0.52189250088258565</v>
      </c>
      <c r="H197" s="42">
        <v>23</v>
      </c>
    </row>
    <row r="198" spans="3:8" x14ac:dyDescent="0.3">
      <c r="C198" s="127">
        <v>2049</v>
      </c>
      <c r="D198" s="15" t="s">
        <v>312</v>
      </c>
      <c r="E198" s="42">
        <v>772</v>
      </c>
      <c r="F198" s="42">
        <f t="shared" si="16"/>
        <v>391.16602978772437</v>
      </c>
      <c r="G198" s="99">
        <f t="shared" si="17"/>
        <v>0.50669174842969478</v>
      </c>
      <c r="H198" s="42">
        <v>24</v>
      </c>
    </row>
    <row r="199" spans="3:8" x14ac:dyDescent="0.3">
      <c r="C199" s="127">
        <v>2050</v>
      </c>
      <c r="D199" s="15" t="s">
        <v>312</v>
      </c>
      <c r="E199" s="42">
        <v>800</v>
      </c>
      <c r="F199" s="42">
        <f t="shared" si="16"/>
        <v>393.54698907160758</v>
      </c>
      <c r="G199" s="99">
        <f t="shared" si="17"/>
        <v>0.49193373633950949</v>
      </c>
      <c r="H199" s="42">
        <v>25</v>
      </c>
    </row>
    <row r="200" spans="3:8" x14ac:dyDescent="0.3">
      <c r="G200" s="42"/>
      <c r="H200" s="99"/>
    </row>
    <row r="201" spans="3:8" x14ac:dyDescent="0.3">
      <c r="C201" s="51" t="s">
        <v>313</v>
      </c>
      <c r="G201" s="42"/>
      <c r="H201" s="99"/>
    </row>
    <row r="202" spans="3:8" x14ac:dyDescent="0.3">
      <c r="C202" s="127" t="s">
        <v>314</v>
      </c>
      <c r="F202" s="42" t="s">
        <v>315</v>
      </c>
    </row>
    <row r="203" spans="3:8" x14ac:dyDescent="0.3">
      <c r="C203" s="155">
        <v>1</v>
      </c>
      <c r="D203" s="15" t="s">
        <v>312</v>
      </c>
      <c r="F203" s="42">
        <f>SUM(F$175:F175)/C203</f>
        <v>182</v>
      </c>
    </row>
    <row r="204" spans="3:8" x14ac:dyDescent="0.3">
      <c r="C204" s="155">
        <v>2</v>
      </c>
      <c r="D204" s="15" t="s">
        <v>312</v>
      </c>
      <c r="F204" s="42">
        <f>SUM(F$175:F176)/C204</f>
        <v>187.60194174757282</v>
      </c>
    </row>
    <row r="205" spans="3:8" x14ac:dyDescent="0.3">
      <c r="C205" s="155">
        <v>3</v>
      </c>
      <c r="D205" s="15" t="s">
        <v>312</v>
      </c>
      <c r="F205" s="42">
        <f>SUM(F$175:F177)/C205</f>
        <v>192.93486662267887</v>
      </c>
    </row>
    <row r="206" spans="3:8" x14ac:dyDescent="0.3">
      <c r="C206" s="155">
        <v>4</v>
      </c>
      <c r="D206" s="15" t="s">
        <v>312</v>
      </c>
      <c r="F206" s="42">
        <f>SUM(F$175:F178)/C206</f>
        <v>198.00815162433071</v>
      </c>
    </row>
    <row r="207" spans="3:8" x14ac:dyDescent="0.3">
      <c r="C207" s="155">
        <v>5</v>
      </c>
      <c r="D207" s="15" t="s">
        <v>312</v>
      </c>
      <c r="F207" s="42">
        <f>SUM(F$175:F179)/C207</f>
        <v>202.83087369524901</v>
      </c>
    </row>
    <row r="208" spans="3:8" x14ac:dyDescent="0.3">
      <c r="C208" s="155">
        <v>6</v>
      </c>
      <c r="D208" s="15" t="s">
        <v>312</v>
      </c>
      <c r="F208" s="42">
        <f>SUM(F$175:F180)/C208</f>
        <v>208.9932684225071</v>
      </c>
    </row>
    <row r="209" spans="3:6" x14ac:dyDescent="0.3">
      <c r="C209" s="155">
        <v>7</v>
      </c>
      <c r="D209" s="15" t="s">
        <v>312</v>
      </c>
      <c r="F209" s="42">
        <f>SUM(F$175:F181)/C209</f>
        <v>215.74711329717729</v>
      </c>
    </row>
    <row r="210" spans="3:6" x14ac:dyDescent="0.3">
      <c r="C210" s="155">
        <v>8</v>
      </c>
      <c r="D210" s="15" t="s">
        <v>312</v>
      </c>
      <c r="F210" s="42">
        <f>SUM(F$175:F182)/C210</f>
        <v>222.72529473361516</v>
      </c>
    </row>
    <row r="211" spans="3:6" x14ac:dyDescent="0.3">
      <c r="C211" s="155">
        <v>9</v>
      </c>
      <c r="D211" s="15" t="s">
        <v>312</v>
      </c>
      <c r="F211" s="42">
        <f>SUM(F$175:F183)/C211</f>
        <v>229.72983341006289</v>
      </c>
    </row>
    <row r="212" spans="3:6" x14ac:dyDescent="0.3">
      <c r="C212" s="155">
        <v>10</v>
      </c>
      <c r="D212" s="15" t="s">
        <v>312</v>
      </c>
      <c r="F212" s="42">
        <f>SUM(F$175:F184)/C212</f>
        <v>236.64710263045805</v>
      </c>
    </row>
    <row r="213" spans="3:6" x14ac:dyDescent="0.3">
      <c r="C213" s="155">
        <v>11</v>
      </c>
      <c r="D213" s="15" t="s">
        <v>312</v>
      </c>
      <c r="F213" s="42">
        <f>SUM(F$175:F185)/C213</f>
        <v>243.34165352877409</v>
      </c>
    </row>
    <row r="214" spans="3:6" x14ac:dyDescent="0.3">
      <c r="C214" s="155">
        <v>12</v>
      </c>
      <c r="D214" s="15" t="s">
        <v>312</v>
      </c>
      <c r="F214" s="42">
        <f>SUM(F$175:F186)/C214</f>
        <v>249.79276963553048</v>
      </c>
    </row>
    <row r="215" spans="3:6" x14ac:dyDescent="0.3">
      <c r="C215" s="155">
        <v>13</v>
      </c>
      <c r="D215" s="15" t="s">
        <v>312</v>
      </c>
      <c r="F215" s="42">
        <f>SUM(F$175:F187)/C215</f>
        <v>255.98947378440431</v>
      </c>
    </row>
    <row r="216" spans="3:6" x14ac:dyDescent="0.3">
      <c r="C216" s="155">
        <v>14</v>
      </c>
      <c r="D216" s="15" t="s">
        <v>312</v>
      </c>
      <c r="F216" s="42">
        <f>SUM(F$175:F188)/C216</f>
        <v>261.92692332241847</v>
      </c>
    </row>
    <row r="217" spans="3:6" x14ac:dyDescent="0.3">
      <c r="C217" s="155">
        <v>15</v>
      </c>
      <c r="D217" s="15" t="s">
        <v>312</v>
      </c>
      <c r="F217" s="42">
        <f>SUM(F$175:F189)/C217</f>
        <v>267.60425163790893</v>
      </c>
    </row>
    <row r="218" spans="3:6" x14ac:dyDescent="0.3">
      <c r="C218" s="155">
        <v>16</v>
      </c>
      <c r="D218" s="15" t="s">
        <v>312</v>
      </c>
      <c r="F218" s="42">
        <f>SUM(F$175:F190)/C218</f>
        <v>273.02322309572639</v>
      </c>
    </row>
    <row r="219" spans="3:6" x14ac:dyDescent="0.3">
      <c r="C219" s="155">
        <v>17</v>
      </c>
      <c r="D219" s="15" t="s">
        <v>312</v>
      </c>
      <c r="F219" s="42">
        <f>SUM(F$175:F191)/C219</f>
        <v>278.18736631412168</v>
      </c>
    </row>
    <row r="220" spans="3:6" x14ac:dyDescent="0.3">
      <c r="C220" s="155">
        <v>18</v>
      </c>
      <c r="D220" s="15" t="s">
        <v>312</v>
      </c>
      <c r="F220" s="42">
        <f>SUM(F$175:F192)/C220</f>
        <v>283.10139964011108</v>
      </c>
    </row>
    <row r="221" spans="3:6" x14ac:dyDescent="0.3">
      <c r="C221" s="155">
        <v>19</v>
      </c>
      <c r="D221" s="15" t="s">
        <v>312</v>
      </c>
      <c r="F221" s="42">
        <f>SUM(F$175:F193)/C221</f>
        <v>287.77084106016349</v>
      </c>
    </row>
    <row r="222" spans="3:6" x14ac:dyDescent="0.3">
      <c r="C222" s="155">
        <v>20</v>
      </c>
      <c r="D222" s="15" t="s">
        <v>312</v>
      </c>
      <c r="F222" s="42">
        <f>SUM(F$175:F194)/C222</f>
        <v>292.20173789194888</v>
      </c>
    </row>
    <row r="223" spans="3:6" x14ac:dyDescent="0.3">
      <c r="C223" s="155">
        <v>21</v>
      </c>
      <c r="D223" s="15" t="s">
        <v>312</v>
      </c>
      <c r="F223" s="42">
        <f>SUM(F$175:F195)/C223</f>
        <v>296.42684174853218</v>
      </c>
    </row>
    <row r="224" spans="3:6" x14ac:dyDescent="0.3">
      <c r="C224" s="155">
        <v>22</v>
      </c>
      <c r="D224" s="15" t="s">
        <v>312</v>
      </c>
      <c r="F224" s="42">
        <f>SUM(F$175:F196)/C224</f>
        <v>300.44767992136661</v>
      </c>
    </row>
    <row r="225" spans="1:14" x14ac:dyDescent="0.3">
      <c r="C225" s="155">
        <v>23</v>
      </c>
      <c r="D225" s="15" t="s">
        <v>312</v>
      </c>
      <c r="F225" s="42">
        <f>SUM(F$175:F197)/C225</f>
        <v>304.26682517072646</v>
      </c>
    </row>
    <row r="226" spans="1:14" x14ac:dyDescent="0.3">
      <c r="C226" s="155">
        <v>24</v>
      </c>
      <c r="D226" s="15" t="s">
        <v>312</v>
      </c>
      <c r="F226" s="42">
        <f>SUM(F$175:F198)/C226</f>
        <v>307.88762536310134</v>
      </c>
    </row>
    <row r="227" spans="1:14" x14ac:dyDescent="0.3">
      <c r="C227" s="155">
        <v>25</v>
      </c>
      <c r="D227" s="15" t="s">
        <v>312</v>
      </c>
      <c r="F227" s="42">
        <f>SUM(F$175:F199)/C227</f>
        <v>311.31399991144161</v>
      </c>
    </row>
    <row r="229" spans="1:14" x14ac:dyDescent="0.3">
      <c r="C229" s="17" t="s">
        <v>316</v>
      </c>
    </row>
    <row r="230" spans="1:14" x14ac:dyDescent="0.3">
      <c r="C230" s="6" t="s">
        <v>317</v>
      </c>
    </row>
    <row r="231" spans="1:14" x14ac:dyDescent="0.3">
      <c r="C231" s="105" t="s">
        <v>318</v>
      </c>
    </row>
    <row r="232" spans="1:14" x14ac:dyDescent="0.3">
      <c r="C232" s="51" t="s">
        <v>319</v>
      </c>
      <c r="E232" s="127" t="s">
        <v>320</v>
      </c>
      <c r="F232" s="127" t="s">
        <v>321</v>
      </c>
      <c r="G232" s="127" t="s">
        <v>322</v>
      </c>
      <c r="H232" s="127" t="s">
        <v>323</v>
      </c>
      <c r="K232" s="127" t="s">
        <v>320</v>
      </c>
      <c r="L232" s="127" t="s">
        <v>321</v>
      </c>
      <c r="M232" s="127" t="s">
        <v>322</v>
      </c>
      <c r="N232" s="127" t="s">
        <v>323</v>
      </c>
    </row>
    <row r="233" spans="1:14" x14ac:dyDescent="0.3">
      <c r="C233" s="20" t="s">
        <v>44</v>
      </c>
      <c r="D233" s="15" t="s">
        <v>324</v>
      </c>
      <c r="E233" s="167">
        <v>10.8</v>
      </c>
      <c r="F233" s="167">
        <v>81</v>
      </c>
      <c r="G233" s="167">
        <f>155+133</f>
        <v>288</v>
      </c>
      <c r="H233" s="167">
        <v>7.31</v>
      </c>
      <c r="J233" s="15" t="s">
        <v>250</v>
      </c>
      <c r="K233" s="99">
        <f>E233*3.6/1000</f>
        <v>3.8880000000000005E-2</v>
      </c>
      <c r="L233" s="99">
        <f t="shared" ref="L233:N237" si="18">F233*3.6/1000</f>
        <v>0.29160000000000003</v>
      </c>
      <c r="M233" s="99">
        <f t="shared" si="18"/>
        <v>1.0367999999999999</v>
      </c>
      <c r="N233" s="99">
        <f t="shared" si="18"/>
        <v>2.6315999999999999E-2</v>
      </c>
    </row>
    <row r="234" spans="1:14" x14ac:dyDescent="0.3">
      <c r="C234" s="20" t="s">
        <v>47</v>
      </c>
      <c r="D234" s="15" t="s">
        <v>324</v>
      </c>
      <c r="E234" s="167">
        <v>820</v>
      </c>
      <c r="F234" s="167">
        <v>82.5</v>
      </c>
      <c r="G234" s="167">
        <f>7.7+5.2</f>
        <v>12.9</v>
      </c>
      <c r="H234" s="167">
        <v>0.6</v>
      </c>
      <c r="J234" s="15" t="s">
        <v>250</v>
      </c>
      <c r="K234" s="99">
        <f t="shared" ref="K234:K237" si="19">E234*3.6/1000</f>
        <v>2.952</v>
      </c>
      <c r="L234" s="99">
        <f t="shared" si="18"/>
        <v>0.29699999999999999</v>
      </c>
      <c r="M234" s="99">
        <f t="shared" si="18"/>
        <v>4.6440000000000002E-2</v>
      </c>
      <c r="N234" s="99">
        <f t="shared" si="18"/>
        <v>2.16E-3</v>
      </c>
    </row>
    <row r="235" spans="1:14" x14ac:dyDescent="0.3">
      <c r="C235" s="20" t="s">
        <v>48</v>
      </c>
      <c r="D235" s="15" t="s">
        <v>324</v>
      </c>
      <c r="E235" s="167">
        <v>1680</v>
      </c>
      <c r="F235" s="167">
        <v>60</v>
      </c>
      <c r="G235" s="167">
        <f>6.9+2.8</f>
        <v>9.6999999999999993</v>
      </c>
      <c r="H235" s="167">
        <v>1</v>
      </c>
      <c r="J235" s="15" t="s">
        <v>250</v>
      </c>
      <c r="K235" s="99">
        <f t="shared" si="19"/>
        <v>6.048</v>
      </c>
      <c r="L235" s="99">
        <f t="shared" si="18"/>
        <v>0.216</v>
      </c>
      <c r="M235" s="99">
        <f t="shared" si="18"/>
        <v>3.492E-2</v>
      </c>
      <c r="N235" s="99">
        <f t="shared" si="18"/>
        <v>3.5999999999999999E-3</v>
      </c>
    </row>
    <row r="236" spans="1:14" x14ac:dyDescent="0.3">
      <c r="C236" s="20" t="s">
        <v>20</v>
      </c>
      <c r="D236" s="15" t="s">
        <v>324</v>
      </c>
      <c r="E236" s="167">
        <v>0.28100000000000003</v>
      </c>
      <c r="F236" s="167">
        <v>89</v>
      </c>
      <c r="G236" s="167">
        <f>0.89*2</f>
        <v>1.78</v>
      </c>
      <c r="H236" s="167">
        <v>2.6</v>
      </c>
      <c r="J236" s="15" t="s">
        <v>250</v>
      </c>
      <c r="K236" s="99">
        <f t="shared" si="19"/>
        <v>1.0116000000000001E-3</v>
      </c>
      <c r="L236" s="99">
        <f t="shared" si="18"/>
        <v>0.32040000000000002</v>
      </c>
      <c r="M236" s="99">
        <f t="shared" si="18"/>
        <v>6.4080000000000005E-3</v>
      </c>
      <c r="N236" s="99">
        <f t="shared" si="18"/>
        <v>9.360000000000002E-3</v>
      </c>
    </row>
    <row r="237" spans="1:14" x14ac:dyDescent="0.3">
      <c r="C237" s="20" t="s">
        <v>49</v>
      </c>
      <c r="D237" s="15" t="s">
        <v>324</v>
      </c>
      <c r="E237" s="167">
        <v>495</v>
      </c>
      <c r="F237" s="167">
        <v>142</v>
      </c>
      <c r="G237" s="167">
        <f>25.2+19.3</f>
        <v>44.5</v>
      </c>
      <c r="H237" s="167">
        <v>2.2999999999999998</v>
      </c>
      <c r="J237" s="15" t="s">
        <v>250</v>
      </c>
      <c r="K237" s="99">
        <f t="shared" si="19"/>
        <v>1.782</v>
      </c>
      <c r="L237" s="99">
        <f t="shared" si="18"/>
        <v>0.51119999999999999</v>
      </c>
      <c r="M237" s="99">
        <f t="shared" si="18"/>
        <v>0.16020000000000001</v>
      </c>
      <c r="N237" s="99">
        <f t="shared" si="18"/>
        <v>8.2799999999999992E-3</v>
      </c>
    </row>
    <row r="238" spans="1:14" x14ac:dyDescent="0.3">
      <c r="C238" s="20" t="s">
        <v>50</v>
      </c>
      <c r="D238" s="15" t="s">
        <v>324</v>
      </c>
      <c r="E238" s="42">
        <f>AVERAGE(E234,E235,E236)</f>
        <v>833.42700000000002</v>
      </c>
      <c r="F238" s="42">
        <f t="shared" ref="F238:H238" si="20">AVERAGE(F234,F235,F236)</f>
        <v>77.166666666666671</v>
      </c>
      <c r="G238" s="42">
        <f t="shared" si="20"/>
        <v>8.1266666666666669</v>
      </c>
      <c r="H238" s="42">
        <f t="shared" si="20"/>
        <v>1.4000000000000001</v>
      </c>
      <c r="I238" s="20" t="s">
        <v>325</v>
      </c>
      <c r="J238" s="15" t="s">
        <v>250</v>
      </c>
      <c r="K238" s="99">
        <f t="shared" ref="K238" si="21">E238*3.6/1000</f>
        <v>3.0003372000000001</v>
      </c>
      <c r="L238" s="99">
        <f t="shared" ref="L238" si="22">F238*3.6/1000</f>
        <v>0.27779999999999999</v>
      </c>
      <c r="M238" s="99">
        <f t="shared" ref="M238" si="23">G238*3.6/1000</f>
        <v>2.9256000000000001E-2</v>
      </c>
      <c r="N238" s="99">
        <f t="shared" ref="N238" si="24">H238*3.6/1000</f>
        <v>5.0400000000000011E-3</v>
      </c>
    </row>
    <row r="239" spans="1:14" x14ac:dyDescent="0.3">
      <c r="A239" s="169"/>
      <c r="C239" s="36"/>
    </row>
    <row r="240" spans="1:14" x14ac:dyDescent="0.3">
      <c r="C240" s="51" t="s">
        <v>326</v>
      </c>
      <c r="E240" s="20"/>
      <c r="F240" s="197" t="s">
        <v>25</v>
      </c>
      <c r="G240" s="198" t="str">
        <f>'Data Input'!B29</f>
        <v>- select country -</v>
      </c>
      <c r="H240" s="219" t="str">
        <f>'Data Input'!B29</f>
        <v>- select country -</v>
      </c>
      <c r="J240" s="51" t="s">
        <v>327</v>
      </c>
    </row>
    <row r="241" spans="3:15" x14ac:dyDescent="0.3">
      <c r="E241" s="20" t="s">
        <v>328</v>
      </c>
      <c r="G241" s="20" t="s">
        <v>329</v>
      </c>
      <c r="H241" s="20"/>
      <c r="O241" s="164" t="s">
        <v>330</v>
      </c>
    </row>
    <row r="242" spans="3:15" x14ac:dyDescent="0.3">
      <c r="C242" s="20" t="s">
        <v>44</v>
      </c>
      <c r="D242" s="15" t="s">
        <v>188</v>
      </c>
      <c r="E242" s="165" t="e">
        <f>G242/G$253*100</f>
        <v>#DIV/0!</v>
      </c>
      <c r="G242" s="163">
        <f>IF($G$240="- select country -",0,INDEX(nrg_bal_peh!$Z$11:$AD$22,MATCH($C242,nrg_bal_peh!$Y$11:$Y$22,0),MATCH('Data Input'!$B$29,nrg_bal_peh!$Z$10:$AD$10,0)))</f>
        <v>0</v>
      </c>
      <c r="H242" s="15" t="s">
        <v>331</v>
      </c>
      <c r="J242" s="157">
        <v>0</v>
      </c>
      <c r="K242" s="15" t="s">
        <v>332</v>
      </c>
    </row>
    <row r="243" spans="3:15" x14ac:dyDescent="0.3">
      <c r="C243" s="20" t="s">
        <v>46</v>
      </c>
      <c r="D243" s="15" t="s">
        <v>188</v>
      </c>
      <c r="E243" s="165" t="e">
        <f t="shared" ref="E243:E251" si="25">G243/G$253*100</f>
        <v>#DIV/0!</v>
      </c>
      <c r="G243" s="163">
        <f>IF($G$240="- select country -",0,INDEX(nrg_bal_peh!$Z$11:$AD$22,MATCH($C243,nrg_bal_peh!$Y$11:$Y$22,0),MATCH('Data Input'!$B$29,nrg_bal_peh!$Z$10:$AD$10,0)))</f>
        <v>0</v>
      </c>
      <c r="H243" s="15" t="s">
        <v>331</v>
      </c>
      <c r="J243" s="157">
        <v>0</v>
      </c>
      <c r="K243" s="15" t="s">
        <v>332</v>
      </c>
    </row>
    <row r="244" spans="3:15" x14ac:dyDescent="0.3">
      <c r="C244" s="20" t="s">
        <v>45</v>
      </c>
      <c r="D244" s="15" t="s">
        <v>188</v>
      </c>
      <c r="E244" s="165" t="e">
        <f t="shared" si="25"/>
        <v>#DIV/0!</v>
      </c>
      <c r="G244" s="163">
        <f>IF($G$240="- select country -",0,INDEX(nrg_bal_peh!$Z$11:$AD$22,MATCH($C244,nrg_bal_peh!$Y$11:$Y$22,0),MATCH('Data Input'!$B$29,nrg_bal_peh!$Z$10:$AD$10,0)))</f>
        <v>0</v>
      </c>
      <c r="H244" s="15" t="s">
        <v>331</v>
      </c>
      <c r="J244" s="157">
        <v>0</v>
      </c>
      <c r="K244" s="15" t="s">
        <v>332</v>
      </c>
      <c r="O244" s="17" t="s">
        <v>333</v>
      </c>
    </row>
    <row r="245" spans="3:15" x14ac:dyDescent="0.3">
      <c r="C245" s="20" t="s">
        <v>47</v>
      </c>
      <c r="D245" s="15" t="s">
        <v>188</v>
      </c>
      <c r="E245" s="165" t="e">
        <f t="shared" si="25"/>
        <v>#DIV/0!</v>
      </c>
      <c r="G245" s="163">
        <f>IF($G$240="- select country -",0,INDEX(nrg_bal_peh!$Z$11:$AD$22,MATCH($C245,nrg_bal_peh!$Y$11:$Y$22,0),MATCH('Data Input'!$B$29,nrg_bal_peh!$Z$10:$AD$10,0)))</f>
        <v>0</v>
      </c>
      <c r="H245" s="15" t="s">
        <v>331</v>
      </c>
      <c r="J245" s="157">
        <f>95.01</f>
        <v>95.01</v>
      </c>
      <c r="K245" s="15" t="s">
        <v>332</v>
      </c>
    </row>
    <row r="246" spans="3:15" x14ac:dyDescent="0.3">
      <c r="C246" s="20" t="s">
        <v>48</v>
      </c>
      <c r="D246" s="15" t="s">
        <v>188</v>
      </c>
      <c r="E246" s="165" t="e">
        <f t="shared" si="25"/>
        <v>#DIV/0!</v>
      </c>
      <c r="G246" s="163">
        <f>IF($G$240="- select country -",0,INDEX(nrg_bal_peh!$Z$11:$AD$22,MATCH($C246,nrg_bal_peh!$Y$11:$Y$22,0),MATCH('Data Input'!$B$29,nrg_bal_peh!$Z$10:$AD$10,0)))</f>
        <v>0</v>
      </c>
      <c r="H246" s="15" t="s">
        <v>331</v>
      </c>
      <c r="J246" s="157">
        <f>110</f>
        <v>110</v>
      </c>
      <c r="K246" s="15" t="s">
        <v>332</v>
      </c>
    </row>
    <row r="247" spans="3:15" x14ac:dyDescent="0.3">
      <c r="C247" s="20" t="s">
        <v>20</v>
      </c>
      <c r="D247" s="15" t="s">
        <v>188</v>
      </c>
      <c r="E247" s="165" t="e">
        <f t="shared" si="25"/>
        <v>#DIV/0!</v>
      </c>
      <c r="G247" s="163">
        <f>IF($G$240="- select country -",0,INDEX(nrg_bal_peh!$Z$11:$AD$22,MATCH($C247,nrg_bal_peh!$Y$11:$Y$22,0),MATCH('Data Input'!$B$29,nrg_bal_peh!$Z$10:$AD$10,0)))</f>
        <v>0</v>
      </c>
      <c r="H247" s="15" t="s">
        <v>331</v>
      </c>
      <c r="J247" s="157">
        <v>55.6</v>
      </c>
      <c r="K247" s="15" t="s">
        <v>334</v>
      </c>
    </row>
    <row r="248" spans="3:15" x14ac:dyDescent="0.3">
      <c r="C248" s="20" t="s">
        <v>49</v>
      </c>
      <c r="D248" s="15" t="s">
        <v>188</v>
      </c>
      <c r="E248" s="165" t="e">
        <f t="shared" si="25"/>
        <v>#DIV/0!</v>
      </c>
      <c r="G248" s="163">
        <f>IF($G$240="- select country -",0,INDEX(nrg_bal_peh!$Z$11:$AD$22,MATCH($C248,nrg_bal_peh!$Y$11:$Y$22,0),MATCH('Data Input'!$B$29,nrg_bal_peh!$Z$10:$AD$10,0)))</f>
        <v>0</v>
      </c>
      <c r="H248" s="15" t="s">
        <v>331</v>
      </c>
      <c r="J248" s="157">
        <f>80</f>
        <v>80</v>
      </c>
      <c r="K248" s="15" t="s">
        <v>332</v>
      </c>
    </row>
    <row r="249" spans="3:15" x14ac:dyDescent="0.3">
      <c r="C249" s="20" t="s">
        <v>50</v>
      </c>
      <c r="D249" s="15" t="s">
        <v>188</v>
      </c>
      <c r="E249" s="165" t="e">
        <f t="shared" si="25"/>
        <v>#DIV/0!</v>
      </c>
      <c r="G249" s="163">
        <f>IF($G$240="- select country -",0,INDEX(nrg_bal_peh!$Z$11:$AD$22,MATCH($C249,nrg_bal_peh!$Y$11:$Y$22,0),MATCH('Data Input'!$B$29,nrg_bal_peh!$Z$10:$AD$10,0)))</f>
        <v>0</v>
      </c>
      <c r="H249" s="15" t="s">
        <v>331</v>
      </c>
      <c r="J249" s="157">
        <f>155/3.6</f>
        <v>43.055555555555557</v>
      </c>
      <c r="K249" s="15" t="s">
        <v>332</v>
      </c>
    </row>
    <row r="250" spans="3:15" x14ac:dyDescent="0.3">
      <c r="C250" s="20" t="s">
        <v>51</v>
      </c>
      <c r="D250" s="15" t="s">
        <v>188</v>
      </c>
      <c r="E250" s="165" t="e">
        <f t="shared" si="25"/>
        <v>#DIV/0!</v>
      </c>
      <c r="G250" s="163">
        <f>IF($G$240="- select country -",0,INDEX(nrg_bal_peh!$Z$11:$AD$22,MATCH($C250,nrg_bal_peh!$Y$11:$Y$22,0),MATCH('Data Input'!$B$29,nrg_bal_peh!$Z$10:$AD$10,0)))</f>
        <v>0</v>
      </c>
      <c r="H250" s="15" t="s">
        <v>331</v>
      </c>
      <c r="J250" s="157">
        <v>0</v>
      </c>
      <c r="K250" s="15" t="s">
        <v>332</v>
      </c>
    </row>
    <row r="251" spans="3:15" x14ac:dyDescent="0.3">
      <c r="C251" s="20" t="s">
        <v>52</v>
      </c>
      <c r="D251" s="15" t="s">
        <v>188</v>
      </c>
      <c r="E251" s="165" t="e">
        <f t="shared" si="25"/>
        <v>#DIV/0!</v>
      </c>
      <c r="G251" s="163">
        <f>IF($G$240="- select country -",0,INDEX(nrg_bal_peh!$Z$11:$AD$22,MATCH($C251,nrg_bal_peh!$Y$11:$Y$22,0),MATCH('Data Input'!$B$29,nrg_bal_peh!$Z$10:$AD$10,0)))</f>
        <v>0</v>
      </c>
      <c r="H251" s="15" t="s">
        <v>331</v>
      </c>
      <c r="J251" s="157">
        <v>0</v>
      </c>
      <c r="K251" s="15" t="s">
        <v>332</v>
      </c>
    </row>
    <row r="252" spans="3:15" x14ac:dyDescent="0.3">
      <c r="C252" s="20" t="s">
        <v>53</v>
      </c>
      <c r="D252" s="15" t="s">
        <v>188</v>
      </c>
      <c r="E252" s="165" t="e">
        <f>G252/G$253*100</f>
        <v>#DIV/0!</v>
      </c>
      <c r="G252" s="163">
        <f>IF($G$240="- select country -",0,INDEX(nrg_bal_peh!$Z$11:$AD$22,MATCH($C252,nrg_bal_peh!$Y$11:$Y$22,0),MATCH('Data Input'!$B$29,nrg_bal_peh!$Z$10:$AD$10,0)))</f>
        <v>0</v>
      </c>
      <c r="H252" s="15" t="s">
        <v>331</v>
      </c>
      <c r="J252" s="157">
        <v>0</v>
      </c>
      <c r="K252" s="15" t="s">
        <v>332</v>
      </c>
    </row>
    <row r="253" spans="3:15" x14ac:dyDescent="0.3">
      <c r="C253" s="36" t="s">
        <v>54</v>
      </c>
      <c r="D253" s="15" t="s">
        <v>188</v>
      </c>
      <c r="E253" s="162" t="e">
        <f>SUM(E242:E252)</f>
        <v>#DIV/0!</v>
      </c>
      <c r="G253" s="42">
        <f>SUM(G242:G252)</f>
        <v>0</v>
      </c>
      <c r="H253" s="15" t="s">
        <v>331</v>
      </c>
      <c r="J253" s="42">
        <f>SUMPRODUCT(G242:G252,J242:J252)</f>
        <v>0</v>
      </c>
      <c r="K253" s="15" t="s">
        <v>335</v>
      </c>
    </row>
    <row r="254" spans="3:15" x14ac:dyDescent="0.3">
      <c r="C254" s="203" t="s">
        <v>336</v>
      </c>
      <c r="D254" s="20" t="s">
        <v>337</v>
      </c>
      <c r="E254" s="162">
        <v>240.41210544651136</v>
      </c>
      <c r="G254" s="163">
        <f>G253*1/E254%</f>
        <v>0</v>
      </c>
      <c r="H254" s="46" t="s">
        <v>331</v>
      </c>
      <c r="I254" s="225" t="s">
        <v>338</v>
      </c>
      <c r="J254" s="55" t="e">
        <f>J253/(G254/3.6)</f>
        <v>#DIV/0!</v>
      </c>
      <c r="K254" s="46" t="s">
        <v>339</v>
      </c>
    </row>
    <row r="255" spans="3:15" x14ac:dyDescent="0.3">
      <c r="C255" s="36"/>
      <c r="E255" s="173"/>
      <c r="G255" s="55"/>
      <c r="H255" s="46"/>
    </row>
    <row r="256" spans="3:15" x14ac:dyDescent="0.3">
      <c r="C256" s="51" t="s">
        <v>340</v>
      </c>
      <c r="E256" s="20" t="s">
        <v>341</v>
      </c>
      <c r="G256" s="20" t="s">
        <v>329</v>
      </c>
      <c r="I256" s="173"/>
      <c r="K256" s="55"/>
      <c r="L256" s="46"/>
    </row>
    <row r="257" spans="3:13" x14ac:dyDescent="0.3">
      <c r="C257" s="209" t="s">
        <v>44</v>
      </c>
      <c r="D257" s="210"/>
      <c r="E257" s="42">
        <f>G257*1/$E$269</f>
        <v>0</v>
      </c>
      <c r="F257" s="15" t="s">
        <v>331</v>
      </c>
      <c r="G257" s="163">
        <f>IF($G$240="- select country -",0,INDEX(nrg_bal_peh!$Z$35:$AD$46,MATCH('Model homes'!$C257,nrg_bal_peh!$Y$35:$Y$46,0),MATCH('Data Input'!$B$29,nrg_bal_peh!$Z$34:$AD$34,0)))</f>
        <v>0</v>
      </c>
      <c r="H257" s="15" t="s">
        <v>331</v>
      </c>
      <c r="I257" s="173"/>
      <c r="J257" s="157">
        <v>0</v>
      </c>
      <c r="K257" s="15" t="s">
        <v>332</v>
      </c>
      <c r="L257" s="46"/>
    </row>
    <row r="258" spans="3:13" x14ac:dyDescent="0.3">
      <c r="C258" s="209" t="s">
        <v>46</v>
      </c>
      <c r="D258" s="210"/>
      <c r="E258" s="42">
        <f t="shared" ref="E258:E267" si="26">G258*1/$E$269</f>
        <v>0</v>
      </c>
      <c r="F258" s="15" t="s">
        <v>331</v>
      </c>
      <c r="G258" s="163">
        <f>IF($G$240="- select country -",0,INDEX(nrg_bal_peh!$Z$35:$AD$46,MATCH('Model homes'!$C258,nrg_bal_peh!$Y$35:$Y$46,0),MATCH('Data Input'!$B$29,nrg_bal_peh!$Z$34:$AD$34,0)))</f>
        <v>0</v>
      </c>
      <c r="H258" s="15" t="s">
        <v>331</v>
      </c>
      <c r="I258" s="173"/>
      <c r="J258" s="157">
        <v>0</v>
      </c>
      <c r="K258" s="15" t="s">
        <v>332</v>
      </c>
      <c r="L258" s="46"/>
    </row>
    <row r="259" spans="3:13" x14ac:dyDescent="0.3">
      <c r="C259" s="209" t="s">
        <v>47</v>
      </c>
      <c r="D259" s="210"/>
      <c r="E259" s="42">
        <f t="shared" si="26"/>
        <v>0</v>
      </c>
      <c r="F259" s="15" t="s">
        <v>331</v>
      </c>
      <c r="G259" s="163">
        <f>IF($G$240="- select country -",0,INDEX(nrg_bal_peh!$Z$35:$AD$46,MATCH('Model homes'!$C259,nrg_bal_peh!$Y$35:$Y$46,0),MATCH('Data Input'!$B$29,nrg_bal_peh!$Z$34:$AD$34,0)))</f>
        <v>0</v>
      </c>
      <c r="H259" s="15" t="s">
        <v>331</v>
      </c>
      <c r="I259" s="173"/>
      <c r="J259" s="157">
        <f>95.01</f>
        <v>95.01</v>
      </c>
      <c r="K259" s="15" t="s">
        <v>332</v>
      </c>
      <c r="L259" s="46"/>
    </row>
    <row r="260" spans="3:13" x14ac:dyDescent="0.3">
      <c r="C260" s="209" t="s">
        <v>48</v>
      </c>
      <c r="D260" s="210"/>
      <c r="E260" s="42">
        <f t="shared" si="26"/>
        <v>0</v>
      </c>
      <c r="F260" s="15" t="s">
        <v>331</v>
      </c>
      <c r="G260" s="163">
        <f>IF($G$240="- select country -",0,INDEX(nrg_bal_peh!$Z$35:$AD$46,MATCH('Model homes'!$C260,nrg_bal_peh!$Y$35:$Y$46,0),MATCH('Data Input'!$B$29,nrg_bal_peh!$Z$34:$AD$34,0)))</f>
        <v>0</v>
      </c>
      <c r="H260" s="15" t="s">
        <v>331</v>
      </c>
      <c r="I260" s="173"/>
      <c r="J260" s="157">
        <f>110</f>
        <v>110</v>
      </c>
      <c r="K260" s="15" t="s">
        <v>332</v>
      </c>
      <c r="L260" s="46"/>
    </row>
    <row r="261" spans="3:13" x14ac:dyDescent="0.3">
      <c r="C261" s="209" t="s">
        <v>20</v>
      </c>
      <c r="D261" s="210"/>
      <c r="E261" s="42">
        <f t="shared" si="26"/>
        <v>0</v>
      </c>
      <c r="F261" s="15" t="s">
        <v>331</v>
      </c>
      <c r="G261" s="163">
        <f>IF($G$240="- select country -",0,INDEX(nrg_bal_peh!$Z$35:$AD$46,MATCH('Model homes'!$C261,nrg_bal_peh!$Y$35:$Y$46,0),MATCH('Data Input'!$B$29,nrg_bal_peh!$Z$34:$AD$34,0)))</f>
        <v>0</v>
      </c>
      <c r="H261" s="15" t="s">
        <v>331</v>
      </c>
      <c r="I261" s="173"/>
      <c r="J261" s="157">
        <v>55.6</v>
      </c>
      <c r="K261" s="15" t="s">
        <v>332</v>
      </c>
      <c r="L261" s="46"/>
    </row>
    <row r="262" spans="3:13" x14ac:dyDescent="0.3">
      <c r="C262" s="209" t="s">
        <v>49</v>
      </c>
      <c r="D262" s="210"/>
      <c r="E262" s="42">
        <f t="shared" si="26"/>
        <v>0</v>
      </c>
      <c r="F262" s="15" t="s">
        <v>331</v>
      </c>
      <c r="G262" s="163">
        <f>IF($G$240="- select country -",0,INDEX(nrg_bal_peh!$Z$35:$AD$46,MATCH('Model homes'!$C262,nrg_bal_peh!$Y$35:$Y$46,0),MATCH('Data Input'!$B$29,nrg_bal_peh!$Z$34:$AD$34,0)))</f>
        <v>0</v>
      </c>
      <c r="H262" s="15" t="s">
        <v>331</v>
      </c>
      <c r="I262" s="173"/>
      <c r="J262" s="157">
        <f>80</f>
        <v>80</v>
      </c>
      <c r="K262" s="15" t="s">
        <v>332</v>
      </c>
      <c r="L262" s="46"/>
    </row>
    <row r="263" spans="3:13" x14ac:dyDescent="0.3">
      <c r="C263" s="209" t="s">
        <v>50</v>
      </c>
      <c r="D263" s="210"/>
      <c r="E263" s="42">
        <f t="shared" si="26"/>
        <v>0</v>
      </c>
      <c r="F263" s="15" t="s">
        <v>331</v>
      </c>
      <c r="G263" s="163">
        <f>IF($G$240="- select country -",0,INDEX(nrg_bal_peh!$Z$35:$AD$46,MATCH('Model homes'!$C263,nrg_bal_peh!$Y$35:$Y$46,0),MATCH('Data Input'!$B$29,nrg_bal_peh!$Z$34:$AD$34,0)))</f>
        <v>0</v>
      </c>
      <c r="H263" s="15" t="s">
        <v>331</v>
      </c>
      <c r="I263" s="173"/>
      <c r="J263" s="157">
        <f>155/3.6</f>
        <v>43.055555555555557</v>
      </c>
      <c r="K263" s="15" t="s">
        <v>332</v>
      </c>
      <c r="L263" s="46"/>
    </row>
    <row r="264" spans="3:13" x14ac:dyDescent="0.3">
      <c r="C264" s="209" t="s">
        <v>39</v>
      </c>
      <c r="D264" s="210"/>
      <c r="E264" s="42">
        <f t="shared" si="26"/>
        <v>0</v>
      </c>
      <c r="F264" s="15" t="s">
        <v>331</v>
      </c>
      <c r="G264" s="163">
        <f>IF($G$240="- select country -",0,INDEX(nrg_bal_peh!$Z$35:$AD$46,MATCH('Model homes'!$C264,nrg_bal_peh!$Y$35:$Y$46,0),MATCH('Data Input'!$B$29,nrg_bal_peh!$Z$34:$AD$34,0)))</f>
        <v>0</v>
      </c>
      <c r="H264" s="15" t="s">
        <v>331</v>
      </c>
      <c r="I264" s="173"/>
      <c r="J264" s="165" t="e">
        <f>J117/3.6</f>
        <v>#N/A</v>
      </c>
      <c r="K264" s="15" t="s">
        <v>332</v>
      </c>
      <c r="L264" s="46"/>
    </row>
    <row r="265" spans="3:13" x14ac:dyDescent="0.3">
      <c r="C265" s="209" t="s">
        <v>60</v>
      </c>
      <c r="D265" s="210"/>
      <c r="E265" s="42">
        <f t="shared" si="26"/>
        <v>0</v>
      </c>
      <c r="F265" s="15" t="s">
        <v>331</v>
      </c>
      <c r="G265" s="163">
        <f>IF($G$240="- select country -",0,INDEX(nrg_bal_peh!$Z$35:$AD$46,MATCH('Model homes'!$C265,nrg_bal_peh!$Y$35:$Y$46,0),MATCH('Data Input'!$B$29,nrg_bal_peh!$Z$34:$AD$34,0)))</f>
        <v>0</v>
      </c>
      <c r="H265" s="15" t="s">
        <v>331</v>
      </c>
      <c r="I265" s="173"/>
      <c r="J265" s="157">
        <v>0</v>
      </c>
      <c r="K265" s="15" t="s">
        <v>332</v>
      </c>
      <c r="L265" s="46"/>
    </row>
    <row r="266" spans="3:13" x14ac:dyDescent="0.3">
      <c r="C266" s="209" t="s">
        <v>61</v>
      </c>
      <c r="D266" s="210"/>
      <c r="E266" s="42">
        <f t="shared" si="26"/>
        <v>0</v>
      </c>
      <c r="F266" s="15" t="s">
        <v>331</v>
      </c>
      <c r="G266" s="163">
        <f>IF($G$240="- select country -",0,INDEX(nrg_bal_peh!$Z$35:$AD$46,MATCH('Model homes'!$C266,nrg_bal_peh!$Y$35:$Y$46,0),MATCH('Data Input'!$B$29,nrg_bal_peh!$Z$34:$AD$34,0)))</f>
        <v>0</v>
      </c>
      <c r="H266" s="15" t="s">
        <v>331</v>
      </c>
      <c r="I266" s="173"/>
      <c r="J266" s="157">
        <v>0</v>
      </c>
      <c r="K266" s="15" t="s">
        <v>332</v>
      </c>
      <c r="L266" s="46"/>
    </row>
    <row r="267" spans="3:13" x14ac:dyDescent="0.3">
      <c r="C267" s="209" t="s">
        <v>62</v>
      </c>
      <c r="D267" s="210"/>
      <c r="E267" s="42">
        <f t="shared" si="26"/>
        <v>0</v>
      </c>
      <c r="F267" s="15" t="s">
        <v>331</v>
      </c>
      <c r="G267" s="163">
        <f>IF($G$240="- select country -",0,INDEX(nrg_bal_peh!$Z$35:$AD$46,MATCH('Model homes'!$C267,nrg_bal_peh!$Y$35:$Y$46,0),MATCH('Data Input'!$B$29,nrg_bal_peh!$Z$34:$AD$34,0)))</f>
        <v>0</v>
      </c>
      <c r="H267" s="15" t="s">
        <v>331</v>
      </c>
      <c r="I267" s="173"/>
      <c r="J267" s="157">
        <v>95</v>
      </c>
      <c r="K267" s="15" t="s">
        <v>332</v>
      </c>
      <c r="L267" s="46"/>
      <c r="M267" s="17" t="s">
        <v>342</v>
      </c>
    </row>
    <row r="268" spans="3:13" x14ac:dyDescent="0.3">
      <c r="C268" s="36" t="s">
        <v>54</v>
      </c>
      <c r="D268" s="210"/>
      <c r="E268" s="42">
        <f>SUM(E257:E267)</f>
        <v>0</v>
      </c>
      <c r="F268" s="15" t="s">
        <v>331</v>
      </c>
      <c r="G268" s="42">
        <f>SUM(G257:G267)</f>
        <v>0</v>
      </c>
      <c r="H268" s="15" t="s">
        <v>331</v>
      </c>
      <c r="I268" s="173"/>
      <c r="J268" s="42" t="e">
        <f>SUMPRODUCT(E257:E267,J257:J267)</f>
        <v>#N/A</v>
      </c>
      <c r="K268" s="15" t="s">
        <v>335</v>
      </c>
      <c r="L268" s="46"/>
    </row>
    <row r="269" spans="3:13" x14ac:dyDescent="0.3">
      <c r="C269" s="203" t="s">
        <v>343</v>
      </c>
      <c r="D269" s="20" t="s">
        <v>337</v>
      </c>
      <c r="E269" s="240">
        <v>0.85</v>
      </c>
      <c r="G269" s="163">
        <f>G268*1/E269</f>
        <v>0</v>
      </c>
      <c r="H269" s="239" t="s">
        <v>331</v>
      </c>
      <c r="I269" s="225" t="s">
        <v>338</v>
      </c>
      <c r="J269" s="55" t="e">
        <f>J268/(E268/3.6)</f>
        <v>#N/A</v>
      </c>
      <c r="K269" s="46" t="s">
        <v>339</v>
      </c>
      <c r="L269" s="46"/>
    </row>
    <row r="270" spans="3:13" x14ac:dyDescent="0.3">
      <c r="C270" s="36"/>
      <c r="I270" s="173"/>
      <c r="K270" s="55"/>
      <c r="L270" s="46"/>
    </row>
    <row r="271" spans="3:13" x14ac:dyDescent="0.3">
      <c r="C271" s="17" t="s">
        <v>344</v>
      </c>
      <c r="D271" s="6" t="s">
        <v>345</v>
      </c>
    </row>
    <row r="273" spans="3:18" x14ac:dyDescent="0.3">
      <c r="C273" s="51" t="s">
        <v>319</v>
      </c>
      <c r="E273" s="127" t="s">
        <v>346</v>
      </c>
      <c r="F273" s="127" t="s">
        <v>321</v>
      </c>
      <c r="G273" s="127" t="s">
        <v>347</v>
      </c>
      <c r="H273" s="127" t="s">
        <v>323</v>
      </c>
    </row>
    <row r="274" spans="3:18" x14ac:dyDescent="0.3">
      <c r="C274" s="20" t="s">
        <v>14</v>
      </c>
      <c r="D274" s="15" t="s">
        <v>250</v>
      </c>
      <c r="E274" s="161" t="e">
        <f>($E$257/$E$268)*K233+($E$259/$E$268)*K234+($E$260/$E$268)*K235+($E$261/$E$268)*K236+($E$262/$E$268)*K237+($E$263/$E$268)*K238</f>
        <v>#DIV/0!</v>
      </c>
      <c r="F274" s="161" t="e">
        <f t="shared" ref="F274:H274" si="27">($E$257/$E$268)*L233+($E$259/$E$268)*L234+($E$260/$E$268)*L235+($E$261/$E$268)*L236+($E$262/$E$268)*L237+($E$263/$E$268)*L238</f>
        <v>#DIV/0!</v>
      </c>
      <c r="G274" s="161" t="e">
        <f t="shared" si="27"/>
        <v>#DIV/0!</v>
      </c>
      <c r="H274" s="161" t="e">
        <f t="shared" si="27"/>
        <v>#DIV/0!</v>
      </c>
      <c r="I274" s="42"/>
    </row>
    <row r="275" spans="3:18" x14ac:dyDescent="0.3">
      <c r="C275" s="14" t="s">
        <v>15</v>
      </c>
      <c r="D275" s="15" t="s">
        <v>250</v>
      </c>
      <c r="E275" s="156">
        <v>0.02</v>
      </c>
      <c r="F275" s="156">
        <v>0.31</v>
      </c>
      <c r="G275" s="156">
        <v>7.0000000000000007E-2</v>
      </c>
      <c r="H275" s="156">
        <v>0.01</v>
      </c>
      <c r="I275" s="42"/>
      <c r="J275" s="20" t="s">
        <v>44</v>
      </c>
      <c r="K275" s="6" t="s">
        <v>345</v>
      </c>
      <c r="R275" s="20" t="s">
        <v>348</v>
      </c>
    </row>
    <row r="276" spans="3:18" x14ac:dyDescent="0.3">
      <c r="C276" s="15" t="s">
        <v>16</v>
      </c>
      <c r="D276" s="15" t="s">
        <v>250</v>
      </c>
      <c r="E276" s="156">
        <v>0.02</v>
      </c>
      <c r="F276" s="156">
        <v>0.31</v>
      </c>
      <c r="G276" s="156">
        <v>7.0000000000000007E-2</v>
      </c>
      <c r="H276" s="156">
        <v>0.01</v>
      </c>
      <c r="I276" s="42"/>
      <c r="J276" s="20" t="s">
        <v>44</v>
      </c>
      <c r="K276" s="6"/>
      <c r="R276" s="20"/>
    </row>
    <row r="277" spans="3:18" x14ac:dyDescent="0.3">
      <c r="C277" s="15" t="s">
        <v>17</v>
      </c>
      <c r="D277" s="15" t="s">
        <v>250</v>
      </c>
      <c r="E277" s="156">
        <v>0.19</v>
      </c>
      <c r="F277" s="156">
        <v>0.28000000000000003</v>
      </c>
      <c r="G277" s="156">
        <v>0.01</v>
      </c>
      <c r="H277" s="156">
        <v>0.01</v>
      </c>
      <c r="I277" s="42"/>
      <c r="J277" s="20" t="s">
        <v>349</v>
      </c>
      <c r="K277" s="6" t="s">
        <v>345</v>
      </c>
      <c r="R277" s="20" t="s">
        <v>348</v>
      </c>
    </row>
    <row r="278" spans="3:18" x14ac:dyDescent="0.3">
      <c r="C278" s="15" t="s">
        <v>18</v>
      </c>
      <c r="D278" s="15" t="s">
        <v>250</v>
      </c>
      <c r="E278" s="156">
        <v>0.18</v>
      </c>
      <c r="F278" s="156">
        <v>0.7</v>
      </c>
      <c r="G278" s="156">
        <v>0.01</v>
      </c>
      <c r="H278" s="156">
        <v>0.01</v>
      </c>
      <c r="I278" s="42"/>
      <c r="J278" s="20" t="s">
        <v>350</v>
      </c>
      <c r="K278" s="6" t="s">
        <v>345</v>
      </c>
      <c r="R278" s="20" t="s">
        <v>348</v>
      </c>
    </row>
    <row r="279" spans="3:18" x14ac:dyDescent="0.3">
      <c r="C279" s="15" t="s">
        <v>19</v>
      </c>
      <c r="D279" s="15" t="s">
        <v>250</v>
      </c>
      <c r="E279" s="156">
        <v>0.18</v>
      </c>
      <c r="F279" s="156">
        <v>0.7</v>
      </c>
      <c r="G279" s="156">
        <v>0.01</v>
      </c>
      <c r="H279" s="156">
        <v>0.01</v>
      </c>
      <c r="I279" s="42"/>
      <c r="J279" s="20" t="s">
        <v>350</v>
      </c>
    </row>
    <row r="280" spans="3:18" x14ac:dyDescent="0.3">
      <c r="C280" s="14" t="s">
        <v>20</v>
      </c>
      <c r="D280" s="15" t="s">
        <v>250</v>
      </c>
      <c r="E280" s="156">
        <v>0</v>
      </c>
      <c r="F280" s="156">
        <v>0.13</v>
      </c>
      <c r="G280" s="156">
        <v>0</v>
      </c>
      <c r="H280" s="156">
        <v>0</v>
      </c>
      <c r="I280" s="42"/>
      <c r="J280" s="20"/>
      <c r="K280" s="6" t="s">
        <v>345</v>
      </c>
      <c r="R280" s="20" t="s">
        <v>348</v>
      </c>
    </row>
    <row r="281" spans="3:18" x14ac:dyDescent="0.3">
      <c r="C281" s="14" t="s">
        <v>21</v>
      </c>
      <c r="D281" s="15" t="s">
        <v>250</v>
      </c>
      <c r="E281" s="161" t="e">
        <f>($E242*K233+$E245*K234+$E246*K235+$E247*K236+$E248*K237+$E249*K238)/100</f>
        <v>#DIV/0!</v>
      </c>
      <c r="F281" s="161" t="e">
        <f>($E242*L233+$E245*L234+$E246*L235+$E247*L236+$E248*L237+$E249*L238)/100</f>
        <v>#DIV/0!</v>
      </c>
      <c r="G281" s="161" t="e">
        <f>($E242*M233+$E245*M234+$E246*M235+$E247*M236+$E248*M237+$E249*M238)/100</f>
        <v>#DIV/0!</v>
      </c>
      <c r="H281" s="161" t="e">
        <f>($E242*N233+$E245*N234+$E246*N235+$E247*N236+$E248*N237+$E249*N238)/100</f>
        <v>#DIV/0!</v>
      </c>
      <c r="I281" s="42"/>
    </row>
    <row r="282" spans="3:18" x14ac:dyDescent="0.3">
      <c r="C282" s="14" t="s">
        <v>22</v>
      </c>
      <c r="D282" s="15" t="s">
        <v>250</v>
      </c>
      <c r="E282" s="99" t="e">
        <f>E281</f>
        <v>#DIV/0!</v>
      </c>
      <c r="F282" s="99" t="e">
        <f t="shared" ref="F282:H282" si="28">F281</f>
        <v>#DIV/0!</v>
      </c>
      <c r="G282" s="99" t="e">
        <f t="shared" si="28"/>
        <v>#DIV/0!</v>
      </c>
      <c r="H282" s="99" t="e">
        <f t="shared" si="28"/>
        <v>#DIV/0!</v>
      </c>
      <c r="I282" s="42"/>
    </row>
    <row r="283" spans="3:18" x14ac:dyDescent="0.3">
      <c r="C283" s="36"/>
      <c r="D283" s="46"/>
      <c r="E283" s="138"/>
      <c r="F283" s="138"/>
      <c r="G283" s="138"/>
      <c r="H283" s="138"/>
      <c r="I283" s="55"/>
    </row>
    <row r="284" spans="3:18" x14ac:dyDescent="0.3">
      <c r="C284" s="6" t="s">
        <v>345</v>
      </c>
      <c r="D284" s="20" t="s">
        <v>348</v>
      </c>
    </row>
    <row r="285" spans="3:18" x14ac:dyDescent="0.3">
      <c r="C285" s="51" t="s">
        <v>351</v>
      </c>
      <c r="E285" s="127" t="s">
        <v>346</v>
      </c>
      <c r="F285" s="127" t="s">
        <v>321</v>
      </c>
      <c r="G285" s="127" t="s">
        <v>347</v>
      </c>
      <c r="H285" s="127" t="s">
        <v>323</v>
      </c>
      <c r="L285" s="127" t="s">
        <v>346</v>
      </c>
      <c r="M285" s="127" t="s">
        <v>321</v>
      </c>
      <c r="N285" s="127" t="s">
        <v>347</v>
      </c>
      <c r="O285" s="127" t="s">
        <v>323</v>
      </c>
    </row>
    <row r="286" spans="3:18" x14ac:dyDescent="0.3">
      <c r="C286" s="105" t="s">
        <v>352</v>
      </c>
      <c r="E286" s="97"/>
      <c r="F286" s="97"/>
      <c r="G286" s="97"/>
      <c r="H286" s="97"/>
      <c r="I286" s="97"/>
      <c r="J286" s="105" t="s">
        <v>353</v>
      </c>
    </row>
    <row r="287" spans="3:18" x14ac:dyDescent="0.3">
      <c r="C287" s="14" t="s">
        <v>354</v>
      </c>
      <c r="D287" s="15" t="s">
        <v>355</v>
      </c>
      <c r="E287" s="157">
        <v>5897.5</v>
      </c>
      <c r="F287" s="157">
        <v>5154.5</v>
      </c>
      <c r="G287" s="157">
        <v>10262.700000000001</v>
      </c>
      <c r="H287" s="157">
        <v>557.20000000000005</v>
      </c>
      <c r="I287" s="97"/>
      <c r="J287" s="14" t="s">
        <v>354</v>
      </c>
      <c r="K287" s="15" t="s">
        <v>355</v>
      </c>
      <c r="L287" s="157">
        <v>6826.3</v>
      </c>
      <c r="M287" s="157">
        <v>7337.1</v>
      </c>
      <c r="N287" s="157">
        <v>20200.3</v>
      </c>
      <c r="O287" s="157">
        <v>557.20000000000005</v>
      </c>
    </row>
    <row r="288" spans="3:18" x14ac:dyDescent="0.3">
      <c r="C288" s="14" t="s">
        <v>356</v>
      </c>
      <c r="D288" s="15" t="s">
        <v>355</v>
      </c>
      <c r="E288" s="157">
        <v>28287.200000000001</v>
      </c>
      <c r="F288" s="157">
        <v>24723.5</v>
      </c>
      <c r="G288" s="157">
        <v>49224.2</v>
      </c>
      <c r="H288" s="157">
        <v>2672.8</v>
      </c>
      <c r="I288" s="97"/>
      <c r="J288" s="14" t="s">
        <v>356</v>
      </c>
      <c r="K288" s="15" t="s">
        <v>355</v>
      </c>
      <c r="L288" s="157">
        <v>32741.9</v>
      </c>
      <c r="M288" s="157">
        <v>35192</v>
      </c>
      <c r="N288" s="157">
        <v>96889.3</v>
      </c>
      <c r="O288" s="157">
        <v>2672.8</v>
      </c>
    </row>
    <row r="289" spans="3:15" x14ac:dyDescent="0.3">
      <c r="C289" s="14" t="s">
        <v>357</v>
      </c>
      <c r="D289" s="15" t="s">
        <v>355</v>
      </c>
      <c r="E289" s="97">
        <f>E287</f>
        <v>5897.5</v>
      </c>
      <c r="F289" s="97">
        <f t="shared" ref="F289:H289" si="29">F287</f>
        <v>5154.5</v>
      </c>
      <c r="G289" s="97">
        <f t="shared" si="29"/>
        <v>10262.700000000001</v>
      </c>
      <c r="H289" s="97">
        <f t="shared" si="29"/>
        <v>557.20000000000005</v>
      </c>
      <c r="I289" s="97"/>
      <c r="J289" s="14" t="s">
        <v>357</v>
      </c>
      <c r="K289" s="15" t="s">
        <v>355</v>
      </c>
      <c r="L289" s="97">
        <f>L287</f>
        <v>6826.3</v>
      </c>
      <c r="M289" s="97">
        <f t="shared" ref="M289:O289" si="30">M287</f>
        <v>7337.1</v>
      </c>
      <c r="N289" s="97">
        <f t="shared" si="30"/>
        <v>20200.3</v>
      </c>
      <c r="O289" s="97">
        <f t="shared" si="30"/>
        <v>557.20000000000005</v>
      </c>
    </row>
    <row r="290" spans="3:15" x14ac:dyDescent="0.3">
      <c r="C290" s="14" t="s">
        <v>358</v>
      </c>
      <c r="D290" s="15" t="s">
        <v>355</v>
      </c>
      <c r="E290" s="97">
        <f>E288</f>
        <v>28287.200000000001</v>
      </c>
      <c r="F290" s="97">
        <f t="shared" ref="F290:H290" si="31">F288</f>
        <v>24723.5</v>
      </c>
      <c r="G290" s="97">
        <f t="shared" si="31"/>
        <v>49224.2</v>
      </c>
      <c r="H290" s="97">
        <f t="shared" si="31"/>
        <v>2672.8</v>
      </c>
      <c r="I290" s="97"/>
      <c r="J290" s="14" t="s">
        <v>358</v>
      </c>
      <c r="K290" s="15" t="s">
        <v>355</v>
      </c>
      <c r="L290" s="97">
        <f>L288</f>
        <v>32741.9</v>
      </c>
      <c r="M290" s="97">
        <f t="shared" ref="M290:O290" si="32">M288</f>
        <v>35192</v>
      </c>
      <c r="N290" s="97">
        <f t="shared" si="32"/>
        <v>96889.3</v>
      </c>
      <c r="O290" s="97">
        <f t="shared" si="32"/>
        <v>2672.8</v>
      </c>
    </row>
    <row r="292" spans="3:15" x14ac:dyDescent="0.3">
      <c r="C292" s="14" t="s">
        <v>359</v>
      </c>
      <c r="D292" s="15" t="s">
        <v>355</v>
      </c>
      <c r="E292" s="97">
        <f>AVERAGE(E287:E288)</f>
        <v>17092.349999999999</v>
      </c>
      <c r="F292" s="97">
        <f t="shared" ref="F292:H292" si="33">AVERAGE(F287:F288)</f>
        <v>14939</v>
      </c>
      <c r="G292" s="97">
        <f t="shared" si="33"/>
        <v>29743.449999999997</v>
      </c>
      <c r="H292" s="97">
        <f t="shared" si="33"/>
        <v>1615</v>
      </c>
      <c r="J292" s="14" t="str">
        <f>C292</f>
        <v>2020 average</v>
      </c>
      <c r="L292" s="97">
        <f>AVERAGE(L287:L288)</f>
        <v>19784.100000000002</v>
      </c>
      <c r="M292" s="97">
        <f t="shared" ref="M292:O292" si="34">AVERAGE(M287:M288)</f>
        <v>21264.55</v>
      </c>
      <c r="N292" s="97">
        <f t="shared" si="34"/>
        <v>58544.800000000003</v>
      </c>
      <c r="O292" s="97">
        <f t="shared" si="34"/>
        <v>1615</v>
      </c>
    </row>
    <row r="293" spans="3:15" x14ac:dyDescent="0.3">
      <c r="I293" s="97"/>
    </row>
    <row r="294" spans="3:15" x14ac:dyDescent="0.3">
      <c r="C294" s="51" t="s">
        <v>360</v>
      </c>
      <c r="E294" s="127" t="s">
        <v>346</v>
      </c>
      <c r="F294" s="127" t="s">
        <v>321</v>
      </c>
      <c r="G294" s="127" t="s">
        <v>347</v>
      </c>
      <c r="H294" s="127" t="s">
        <v>323</v>
      </c>
      <c r="L294" s="127" t="s">
        <v>346</v>
      </c>
      <c r="M294" s="127" t="s">
        <v>321</v>
      </c>
      <c r="N294" s="127" t="s">
        <v>347</v>
      </c>
      <c r="O294" s="127" t="s">
        <v>323</v>
      </c>
    </row>
    <row r="295" spans="3:15" x14ac:dyDescent="0.3">
      <c r="C295" s="166" t="s">
        <v>361</v>
      </c>
      <c r="D295" s="15" t="s">
        <v>36</v>
      </c>
      <c r="E295" s="97">
        <f>E292*(1+$E$171)^(2026-2018-1)</f>
        <v>19633.737471445165</v>
      </c>
      <c r="F295" s="97">
        <f t="shared" ref="F295:H295" si="35">F292*(1+$E$171)^(2026-2018-1)</f>
        <v>17160.21518901259</v>
      </c>
      <c r="G295" s="97">
        <f t="shared" si="35"/>
        <v>34165.874721442968</v>
      </c>
      <c r="H295" s="97">
        <f t="shared" si="35"/>
        <v>1855.127353253587</v>
      </c>
      <c r="I295" s="97"/>
      <c r="J295" s="158" t="s">
        <v>361</v>
      </c>
      <c r="K295" s="15" t="s">
        <v>36</v>
      </c>
      <c r="L295" s="97">
        <f>L292*(1+$E$171)^(2026-2018-1)</f>
        <v>22725.712117340121</v>
      </c>
      <c r="M295" s="97">
        <f t="shared" ref="M295:O295" si="36">M292*(1+$E$171)^(2026-2018-1)</f>
        <v>24426.283814011491</v>
      </c>
      <c r="N295" s="97">
        <f t="shared" si="36"/>
        <v>67249.57267539356</v>
      </c>
      <c r="O295" s="97">
        <f t="shared" si="36"/>
        <v>1855.127353253587</v>
      </c>
    </row>
    <row r="296" spans="3:15" x14ac:dyDescent="0.3">
      <c r="C296" s="158">
        <f t="shared" ref="C296:C319" si="37">C176</f>
        <v>2027</v>
      </c>
      <c r="D296" s="15" t="s">
        <v>36</v>
      </c>
      <c r="E296" s="97">
        <f>E295*(1+$E$171)</f>
        <v>20026.41222087407</v>
      </c>
      <c r="F296" s="97">
        <f t="shared" ref="F296:H311" si="38">F295*(1+$E$171)</f>
        <v>17503.41949279284</v>
      </c>
      <c r="G296" s="97">
        <f t="shared" si="38"/>
        <v>34849.19221587183</v>
      </c>
      <c r="H296" s="97">
        <f t="shared" si="38"/>
        <v>1892.2299003186588</v>
      </c>
      <c r="I296" s="97"/>
      <c r="J296" s="158">
        <f>C296</f>
        <v>2027</v>
      </c>
      <c r="K296" s="15" t="s">
        <v>36</v>
      </c>
      <c r="L296" s="97">
        <f>L295*(1+$E$171)</f>
        <v>23180.226359686923</v>
      </c>
      <c r="M296" s="97">
        <f t="shared" ref="M296:M319" si="39">M295*(1+$E$171)</f>
        <v>24914.809490291722</v>
      </c>
      <c r="N296" s="97">
        <f t="shared" ref="N296:N319" si="40">N295*(1+$E$171)</f>
        <v>68594.564128901431</v>
      </c>
      <c r="O296" s="97">
        <f t="shared" ref="O296:O319" si="41">O295*(1+$E$171)</f>
        <v>1892.2299003186588</v>
      </c>
    </row>
    <row r="297" spans="3:15" x14ac:dyDescent="0.3">
      <c r="C297" s="158">
        <f t="shared" si="37"/>
        <v>2028</v>
      </c>
      <c r="D297" s="15" t="s">
        <v>36</v>
      </c>
      <c r="E297" s="97">
        <f>E296*(1+$E$171)</f>
        <v>20426.940465291551</v>
      </c>
      <c r="F297" s="97">
        <f t="shared" si="38"/>
        <v>17853.487882648697</v>
      </c>
      <c r="G297" s="97">
        <f t="shared" si="38"/>
        <v>35546.176060189267</v>
      </c>
      <c r="H297" s="97">
        <f t="shared" si="38"/>
        <v>1930.074498325032</v>
      </c>
      <c r="I297" s="97"/>
      <c r="J297" s="158">
        <f t="shared" ref="J297:J319" si="42">C297</f>
        <v>2028</v>
      </c>
      <c r="K297" s="15" t="s">
        <v>36</v>
      </c>
      <c r="L297" s="97">
        <f>L296*(1+$E$171)</f>
        <v>23643.830886880663</v>
      </c>
      <c r="M297" s="97">
        <f t="shared" si="39"/>
        <v>25413.105680097557</v>
      </c>
      <c r="N297" s="97">
        <f t="shared" si="40"/>
        <v>69966.455411479459</v>
      </c>
      <c r="O297" s="97">
        <f t="shared" si="41"/>
        <v>1930.074498325032</v>
      </c>
    </row>
    <row r="298" spans="3:15" x14ac:dyDescent="0.3">
      <c r="C298" s="158">
        <f t="shared" si="37"/>
        <v>2029</v>
      </c>
      <c r="D298" s="15" t="s">
        <v>36</v>
      </c>
      <c r="E298" s="97">
        <f t="shared" ref="E298:E319" si="43">E297*(1+$E$171)</f>
        <v>20835.479274597383</v>
      </c>
      <c r="F298" s="97">
        <f t="shared" si="38"/>
        <v>18210.557640301671</v>
      </c>
      <c r="G298" s="97">
        <f t="shared" si="38"/>
        <v>36257.099581393057</v>
      </c>
      <c r="H298" s="97">
        <f t="shared" si="38"/>
        <v>1968.6759882915326</v>
      </c>
      <c r="I298" s="97"/>
      <c r="J298" s="158">
        <f t="shared" si="42"/>
        <v>2029</v>
      </c>
      <c r="K298" s="15" t="s">
        <v>36</v>
      </c>
      <c r="L298" s="97">
        <f t="shared" ref="L298:L319" si="44">L297*(1+$E$171)</f>
        <v>24116.707504618276</v>
      </c>
      <c r="M298" s="97">
        <f t="shared" si="39"/>
        <v>25921.367793699508</v>
      </c>
      <c r="N298" s="97">
        <f t="shared" si="40"/>
        <v>71365.78451970905</v>
      </c>
      <c r="O298" s="97">
        <f t="shared" si="41"/>
        <v>1968.6759882915326</v>
      </c>
    </row>
    <row r="299" spans="3:15" x14ac:dyDescent="0.3">
      <c r="C299" s="158">
        <f t="shared" si="37"/>
        <v>2030</v>
      </c>
      <c r="D299" s="15" t="s">
        <v>36</v>
      </c>
      <c r="E299" s="97">
        <f t="shared" si="43"/>
        <v>21252.188860089333</v>
      </c>
      <c r="F299" s="97">
        <f t="shared" si="38"/>
        <v>18574.768793107705</v>
      </c>
      <c r="G299" s="97">
        <f t="shared" si="38"/>
        <v>36982.241573020918</v>
      </c>
      <c r="H299" s="97">
        <f t="shared" si="38"/>
        <v>2008.0495080573633</v>
      </c>
      <c r="J299" s="158">
        <f t="shared" si="42"/>
        <v>2030</v>
      </c>
      <c r="K299" s="15" t="s">
        <v>36</v>
      </c>
      <c r="L299" s="97">
        <f t="shared" si="44"/>
        <v>24599.041654710643</v>
      </c>
      <c r="M299" s="97">
        <f t="shared" si="39"/>
        <v>26439.7951495735</v>
      </c>
      <c r="N299" s="97">
        <f t="shared" si="40"/>
        <v>72793.100210103235</v>
      </c>
      <c r="O299" s="97">
        <f t="shared" si="41"/>
        <v>2008.0495080573633</v>
      </c>
    </row>
    <row r="300" spans="3:15" x14ac:dyDescent="0.3">
      <c r="C300" s="158">
        <f t="shared" si="37"/>
        <v>2031</v>
      </c>
      <c r="D300" s="15" t="s">
        <v>36</v>
      </c>
      <c r="E300" s="97">
        <f t="shared" si="43"/>
        <v>21677.232637291119</v>
      </c>
      <c r="F300" s="97">
        <f t="shared" si="38"/>
        <v>18946.264168969861</v>
      </c>
      <c r="G300" s="97">
        <f t="shared" si="38"/>
        <v>37721.886404481338</v>
      </c>
      <c r="H300" s="97">
        <f t="shared" si="38"/>
        <v>2048.2104982185106</v>
      </c>
      <c r="J300" s="158">
        <f t="shared" si="42"/>
        <v>2031</v>
      </c>
      <c r="K300" s="15" t="s">
        <v>36</v>
      </c>
      <c r="L300" s="97">
        <f t="shared" si="44"/>
        <v>25091.022487804858</v>
      </c>
      <c r="M300" s="97">
        <f t="shared" si="39"/>
        <v>26968.591052564971</v>
      </c>
      <c r="N300" s="97">
        <f t="shared" si="40"/>
        <v>74248.962214305298</v>
      </c>
      <c r="O300" s="97">
        <f t="shared" si="41"/>
        <v>2048.2104982185106</v>
      </c>
    </row>
    <row r="301" spans="3:15" x14ac:dyDescent="0.3">
      <c r="C301" s="158">
        <f t="shared" si="37"/>
        <v>2032</v>
      </c>
      <c r="D301" s="15" t="s">
        <v>36</v>
      </c>
      <c r="E301" s="97">
        <f t="shared" si="43"/>
        <v>22110.777290036942</v>
      </c>
      <c r="F301" s="97">
        <f t="shared" si="38"/>
        <v>19325.189452349259</v>
      </c>
      <c r="G301" s="97">
        <f t="shared" si="38"/>
        <v>38476.324132570968</v>
      </c>
      <c r="H301" s="97">
        <f t="shared" si="38"/>
        <v>2089.1747081828807</v>
      </c>
      <c r="J301" s="158">
        <f t="shared" si="42"/>
        <v>2032</v>
      </c>
      <c r="K301" s="15" t="s">
        <v>36</v>
      </c>
      <c r="L301" s="97">
        <f t="shared" si="44"/>
        <v>25592.842937560956</v>
      </c>
      <c r="M301" s="97">
        <f t="shared" si="39"/>
        <v>27507.96287361627</v>
      </c>
      <c r="N301" s="97">
        <f t="shared" si="40"/>
        <v>75733.941458591406</v>
      </c>
      <c r="O301" s="97">
        <f t="shared" si="41"/>
        <v>2089.1747081828807</v>
      </c>
    </row>
    <row r="302" spans="3:15" x14ac:dyDescent="0.3">
      <c r="C302" s="158">
        <f t="shared" si="37"/>
        <v>2033</v>
      </c>
      <c r="D302" s="15" t="s">
        <v>36</v>
      </c>
      <c r="E302" s="97">
        <f t="shared" si="43"/>
        <v>22552.992835837682</v>
      </c>
      <c r="F302" s="97">
        <f t="shared" si="38"/>
        <v>19711.693241396246</v>
      </c>
      <c r="G302" s="97">
        <f t="shared" si="38"/>
        <v>39245.850615222385</v>
      </c>
      <c r="H302" s="97">
        <f t="shared" si="38"/>
        <v>2130.9582023465382</v>
      </c>
      <c r="J302" s="158">
        <f t="shared" si="42"/>
        <v>2033</v>
      </c>
      <c r="K302" s="15" t="s">
        <v>36</v>
      </c>
      <c r="L302" s="97">
        <f t="shared" si="44"/>
        <v>26104.699796312176</v>
      </c>
      <c r="M302" s="97">
        <f t="shared" si="39"/>
        <v>28058.122131088596</v>
      </c>
      <c r="N302" s="97">
        <f t="shared" si="40"/>
        <v>77248.620287763231</v>
      </c>
      <c r="O302" s="97">
        <f t="shared" si="41"/>
        <v>2130.9582023465382</v>
      </c>
    </row>
    <row r="303" spans="3:15" x14ac:dyDescent="0.3">
      <c r="C303" s="158">
        <f t="shared" si="37"/>
        <v>2034</v>
      </c>
      <c r="D303" s="15" t="s">
        <v>36</v>
      </c>
      <c r="E303" s="97">
        <f t="shared" si="43"/>
        <v>23004.052692554436</v>
      </c>
      <c r="F303" s="97">
        <f t="shared" si="38"/>
        <v>20105.927106224171</v>
      </c>
      <c r="G303" s="97">
        <f t="shared" si="38"/>
        <v>40030.767627526831</v>
      </c>
      <c r="H303" s="97">
        <f t="shared" si="38"/>
        <v>2173.5773663934692</v>
      </c>
      <c r="J303" s="158">
        <f t="shared" si="42"/>
        <v>2034</v>
      </c>
      <c r="K303" s="15" t="s">
        <v>36</v>
      </c>
      <c r="L303" s="97">
        <f t="shared" si="44"/>
        <v>26626.793792238419</v>
      </c>
      <c r="M303" s="97">
        <f t="shared" si="39"/>
        <v>28619.284573710367</v>
      </c>
      <c r="N303" s="97">
        <f t="shared" si="40"/>
        <v>78793.592693518498</v>
      </c>
      <c r="O303" s="97">
        <f t="shared" si="41"/>
        <v>2173.5773663934692</v>
      </c>
    </row>
    <row r="304" spans="3:15" x14ac:dyDescent="0.3">
      <c r="C304" s="158">
        <f t="shared" si="37"/>
        <v>2035</v>
      </c>
      <c r="D304" s="15" t="s">
        <v>36</v>
      </c>
      <c r="E304" s="97">
        <f t="shared" si="43"/>
        <v>23464.133746405525</v>
      </c>
      <c r="F304" s="97">
        <f t="shared" si="38"/>
        <v>20508.045648348656</v>
      </c>
      <c r="G304" s="97">
        <f t="shared" si="38"/>
        <v>40831.382980077367</v>
      </c>
      <c r="H304" s="97">
        <f t="shared" si="38"/>
        <v>2217.0489137213385</v>
      </c>
      <c r="J304" s="158">
        <f t="shared" si="42"/>
        <v>2035</v>
      </c>
      <c r="K304" s="15" t="s">
        <v>36</v>
      </c>
      <c r="L304" s="97">
        <f t="shared" si="44"/>
        <v>27159.329668083188</v>
      </c>
      <c r="M304" s="97">
        <f t="shared" si="39"/>
        <v>29191.670265184574</v>
      </c>
      <c r="N304" s="97">
        <f t="shared" si="40"/>
        <v>80369.464547388867</v>
      </c>
      <c r="O304" s="97">
        <f t="shared" si="41"/>
        <v>2217.0489137213385</v>
      </c>
    </row>
    <row r="305" spans="3:15" x14ac:dyDescent="0.3">
      <c r="C305" s="158">
        <f t="shared" si="37"/>
        <v>2036</v>
      </c>
      <c r="D305" s="15" t="s">
        <v>36</v>
      </c>
      <c r="E305" s="97">
        <f t="shared" si="43"/>
        <v>23933.416421333637</v>
      </c>
      <c r="F305" s="97">
        <f t="shared" si="38"/>
        <v>20918.20656131563</v>
      </c>
      <c r="G305" s="97">
        <f t="shared" si="38"/>
        <v>41648.010639678912</v>
      </c>
      <c r="H305" s="97">
        <f t="shared" si="38"/>
        <v>2261.3898919957655</v>
      </c>
      <c r="J305" s="158">
        <f t="shared" si="42"/>
        <v>2036</v>
      </c>
      <c r="K305" s="15" t="s">
        <v>36</v>
      </c>
      <c r="L305" s="97">
        <f t="shared" si="44"/>
        <v>27702.516261444853</v>
      </c>
      <c r="M305" s="97">
        <f t="shared" si="39"/>
        <v>29775.503670488266</v>
      </c>
      <c r="N305" s="97">
        <f t="shared" si="40"/>
        <v>81976.853838336639</v>
      </c>
      <c r="O305" s="97">
        <f t="shared" si="41"/>
        <v>2261.3898919957655</v>
      </c>
    </row>
    <row r="306" spans="3:15" x14ac:dyDescent="0.3">
      <c r="C306" s="158">
        <f t="shared" si="37"/>
        <v>2037</v>
      </c>
      <c r="D306" s="15" t="s">
        <v>36</v>
      </c>
      <c r="E306" s="97">
        <f t="shared" si="43"/>
        <v>24412.08474976031</v>
      </c>
      <c r="F306" s="97">
        <f t="shared" si="38"/>
        <v>21336.570692541944</v>
      </c>
      <c r="G306" s="97">
        <f t="shared" si="38"/>
        <v>42480.970852472492</v>
      </c>
      <c r="H306" s="97">
        <f t="shared" si="38"/>
        <v>2306.6176898356807</v>
      </c>
      <c r="J306" s="158">
        <f t="shared" si="42"/>
        <v>2037</v>
      </c>
      <c r="K306" s="15" t="s">
        <v>36</v>
      </c>
      <c r="L306" s="97">
        <f t="shared" si="44"/>
        <v>28256.566586673751</v>
      </c>
      <c r="M306" s="97">
        <f t="shared" si="39"/>
        <v>30371.013743898031</v>
      </c>
      <c r="N306" s="97">
        <f t="shared" si="40"/>
        <v>83616.390915103373</v>
      </c>
      <c r="O306" s="97">
        <f t="shared" si="41"/>
        <v>2306.6176898356807</v>
      </c>
    </row>
    <row r="307" spans="3:15" x14ac:dyDescent="0.3">
      <c r="C307" s="158">
        <f t="shared" si="37"/>
        <v>2038</v>
      </c>
      <c r="D307" s="15" t="s">
        <v>36</v>
      </c>
      <c r="E307" s="97">
        <f t="shared" si="43"/>
        <v>24900.326444755516</v>
      </c>
      <c r="F307" s="97">
        <f t="shared" si="38"/>
        <v>21763.302106392784</v>
      </c>
      <c r="G307" s="97">
        <f t="shared" si="38"/>
        <v>43330.590269521941</v>
      </c>
      <c r="H307" s="97">
        <f t="shared" si="38"/>
        <v>2352.7500436323944</v>
      </c>
      <c r="J307" s="158">
        <f t="shared" si="42"/>
        <v>2038</v>
      </c>
      <c r="K307" s="15" t="s">
        <v>36</v>
      </c>
      <c r="L307" s="97">
        <f t="shared" si="44"/>
        <v>28821.697918407226</v>
      </c>
      <c r="M307" s="97">
        <f t="shared" si="39"/>
        <v>30978.434018775992</v>
      </c>
      <c r="N307" s="97">
        <f t="shared" si="40"/>
        <v>85288.718733405447</v>
      </c>
      <c r="O307" s="97">
        <f t="shared" si="41"/>
        <v>2352.7500436323944</v>
      </c>
    </row>
    <row r="308" spans="3:15" x14ac:dyDescent="0.3">
      <c r="C308" s="158">
        <f t="shared" si="37"/>
        <v>2039</v>
      </c>
      <c r="D308" s="15" t="s">
        <v>36</v>
      </c>
      <c r="E308" s="97">
        <f t="shared" si="43"/>
        <v>25398.332973650628</v>
      </c>
      <c r="F308" s="97">
        <f t="shared" si="38"/>
        <v>22198.568148520641</v>
      </c>
      <c r="G308" s="97">
        <f t="shared" si="38"/>
        <v>44197.202074912384</v>
      </c>
      <c r="H308" s="97">
        <f t="shared" si="38"/>
        <v>2399.8050445050421</v>
      </c>
      <c r="J308" s="158">
        <f t="shared" si="42"/>
        <v>2039</v>
      </c>
      <c r="K308" s="15" t="s">
        <v>36</v>
      </c>
      <c r="L308" s="97">
        <f t="shared" si="44"/>
        <v>29398.131876775373</v>
      </c>
      <c r="M308" s="97">
        <f t="shared" si="39"/>
        <v>31598.002699151511</v>
      </c>
      <c r="N308" s="97">
        <f t="shared" si="40"/>
        <v>86994.493108073555</v>
      </c>
      <c r="O308" s="97">
        <f t="shared" si="41"/>
        <v>2399.8050445050421</v>
      </c>
    </row>
    <row r="309" spans="3:15" x14ac:dyDescent="0.3">
      <c r="C309" s="158">
        <f t="shared" si="37"/>
        <v>2040</v>
      </c>
      <c r="D309" s="15" t="s">
        <v>36</v>
      </c>
      <c r="E309" s="97">
        <f t="shared" si="43"/>
        <v>25906.299633123639</v>
      </c>
      <c r="F309" s="97">
        <f t="shared" si="38"/>
        <v>22642.539511491053</v>
      </c>
      <c r="G309" s="97">
        <f t="shared" si="38"/>
        <v>45081.146116410629</v>
      </c>
      <c r="H309" s="97">
        <f t="shared" si="38"/>
        <v>2447.8011453951431</v>
      </c>
      <c r="J309" s="158">
        <f t="shared" si="42"/>
        <v>2040</v>
      </c>
      <c r="K309" s="15" t="s">
        <v>36</v>
      </c>
      <c r="L309" s="97">
        <f t="shared" si="44"/>
        <v>29986.09451431088</v>
      </c>
      <c r="M309" s="97">
        <f t="shared" si="39"/>
        <v>32229.962753134543</v>
      </c>
      <c r="N309" s="97">
        <f t="shared" si="40"/>
        <v>88734.382970235034</v>
      </c>
      <c r="O309" s="97">
        <f t="shared" si="41"/>
        <v>2447.8011453951431</v>
      </c>
    </row>
    <row r="310" spans="3:15" x14ac:dyDescent="0.3">
      <c r="C310" s="158">
        <f t="shared" si="37"/>
        <v>2041</v>
      </c>
      <c r="D310" s="15" t="s">
        <v>36</v>
      </c>
      <c r="E310" s="97">
        <f t="shared" si="43"/>
        <v>26424.425625786113</v>
      </c>
      <c r="F310" s="97">
        <f t="shared" si="38"/>
        <v>23095.390301720876</v>
      </c>
      <c r="G310" s="97">
        <f t="shared" si="38"/>
        <v>45982.769038738843</v>
      </c>
      <c r="H310" s="97">
        <f t="shared" si="38"/>
        <v>2496.757168303046</v>
      </c>
      <c r="J310" s="158">
        <f t="shared" si="42"/>
        <v>2041</v>
      </c>
      <c r="K310" s="15" t="s">
        <v>36</v>
      </c>
      <c r="L310" s="97">
        <f t="shared" si="44"/>
        <v>30585.816404597099</v>
      </c>
      <c r="M310" s="97">
        <f t="shared" si="39"/>
        <v>32874.562008197237</v>
      </c>
      <c r="N310" s="97">
        <f t="shared" si="40"/>
        <v>90509.07062963974</v>
      </c>
      <c r="O310" s="97">
        <f t="shared" si="41"/>
        <v>2496.757168303046</v>
      </c>
    </row>
    <row r="311" spans="3:15" x14ac:dyDescent="0.3">
      <c r="C311" s="158">
        <f t="shared" si="37"/>
        <v>2042</v>
      </c>
      <c r="D311" s="15" t="s">
        <v>36</v>
      </c>
      <c r="E311" s="97">
        <f t="shared" si="43"/>
        <v>26952.914138301836</v>
      </c>
      <c r="F311" s="97">
        <f t="shared" si="38"/>
        <v>23557.298107755294</v>
      </c>
      <c r="G311" s="97">
        <f t="shared" si="38"/>
        <v>46902.42441951362</v>
      </c>
      <c r="H311" s="97">
        <f t="shared" si="38"/>
        <v>2546.6923116691069</v>
      </c>
      <c r="J311" s="158">
        <f t="shared" si="42"/>
        <v>2042</v>
      </c>
      <c r="K311" s="15" t="s">
        <v>36</v>
      </c>
      <c r="L311" s="97">
        <f t="shared" si="44"/>
        <v>31197.53273268904</v>
      </c>
      <c r="M311" s="97">
        <f t="shared" si="39"/>
        <v>33532.053248361182</v>
      </c>
      <c r="N311" s="97">
        <f t="shared" si="40"/>
        <v>92319.252042232532</v>
      </c>
      <c r="O311" s="97">
        <f t="shared" si="41"/>
        <v>2546.6923116691069</v>
      </c>
    </row>
    <row r="312" spans="3:15" x14ac:dyDescent="0.3">
      <c r="C312" s="158">
        <f t="shared" si="37"/>
        <v>2043</v>
      </c>
      <c r="D312" s="15" t="s">
        <v>36</v>
      </c>
      <c r="E312" s="97">
        <f t="shared" si="43"/>
        <v>27491.972421067872</v>
      </c>
      <c r="F312" s="97">
        <f t="shared" ref="F312:F319" si="45">F311*(1+$E$171)</f>
        <v>24028.444069910402</v>
      </c>
      <c r="G312" s="97">
        <f t="shared" ref="G312:G319" si="46">G311*(1+$E$171)</f>
        <v>47840.472907903895</v>
      </c>
      <c r="H312" s="97">
        <f t="shared" ref="H312:H319" si="47">H311*(1+$E$171)</f>
        <v>2597.626157902489</v>
      </c>
      <c r="J312" s="158">
        <f t="shared" si="42"/>
        <v>2043</v>
      </c>
      <c r="K312" s="15" t="s">
        <v>36</v>
      </c>
      <c r="L312" s="97">
        <f t="shared" si="44"/>
        <v>31821.483387342822</v>
      </c>
      <c r="M312" s="97">
        <f t="shared" si="39"/>
        <v>34202.694313328408</v>
      </c>
      <c r="N312" s="97">
        <f t="shared" si="40"/>
        <v>94165.637083077178</v>
      </c>
      <c r="O312" s="97">
        <f t="shared" si="41"/>
        <v>2597.626157902489</v>
      </c>
    </row>
    <row r="313" spans="3:15" x14ac:dyDescent="0.3">
      <c r="C313" s="158">
        <f t="shared" si="37"/>
        <v>2044</v>
      </c>
      <c r="D313" s="15" t="s">
        <v>36</v>
      </c>
      <c r="E313" s="97">
        <f t="shared" si="43"/>
        <v>28041.811869489229</v>
      </c>
      <c r="F313" s="97">
        <f t="shared" si="45"/>
        <v>24509.01295130861</v>
      </c>
      <c r="G313" s="97">
        <f t="shared" si="46"/>
        <v>48797.282366061976</v>
      </c>
      <c r="H313" s="97">
        <f t="shared" si="47"/>
        <v>2649.5786810605387</v>
      </c>
      <c r="J313" s="158">
        <f t="shared" si="42"/>
        <v>2044</v>
      </c>
      <c r="K313" s="15" t="s">
        <v>36</v>
      </c>
      <c r="L313" s="97">
        <f t="shared" si="44"/>
        <v>32457.913055089677</v>
      </c>
      <c r="M313" s="97">
        <f t="shared" si="39"/>
        <v>34886.748199594978</v>
      </c>
      <c r="N313" s="97">
        <f t="shared" si="40"/>
        <v>96048.949824738724</v>
      </c>
      <c r="O313" s="97">
        <f t="shared" si="41"/>
        <v>2649.5786810605387</v>
      </c>
    </row>
    <row r="314" spans="3:15" x14ac:dyDescent="0.3">
      <c r="C314" s="158">
        <f t="shared" si="37"/>
        <v>2045</v>
      </c>
      <c r="D314" s="15" t="s">
        <v>36</v>
      </c>
      <c r="E314" s="97">
        <f t="shared" si="43"/>
        <v>28602.648106879013</v>
      </c>
      <c r="F314" s="97">
        <f t="shared" si="45"/>
        <v>24999.193210334783</v>
      </c>
      <c r="G314" s="97">
        <f t="shared" si="46"/>
        <v>49773.228013383217</v>
      </c>
      <c r="H314" s="97">
        <f t="shared" si="47"/>
        <v>2702.5702546817497</v>
      </c>
      <c r="J314" s="158">
        <f t="shared" si="42"/>
        <v>2045</v>
      </c>
      <c r="K314" s="15" t="s">
        <v>36</v>
      </c>
      <c r="L314" s="97">
        <f t="shared" si="44"/>
        <v>33107.071316191468</v>
      </c>
      <c r="M314" s="97">
        <f t="shared" si="39"/>
        <v>35584.483163586876</v>
      </c>
      <c r="N314" s="97">
        <f t="shared" si="40"/>
        <v>97969.928821233494</v>
      </c>
      <c r="O314" s="97">
        <f t="shared" si="41"/>
        <v>2702.5702546817497</v>
      </c>
    </row>
    <row r="315" spans="3:15" x14ac:dyDescent="0.3">
      <c r="C315" s="158">
        <f t="shared" si="37"/>
        <v>2046</v>
      </c>
      <c r="D315" s="15" t="s">
        <v>36</v>
      </c>
      <c r="E315" s="97">
        <f t="shared" si="43"/>
        <v>29174.701069016592</v>
      </c>
      <c r="F315" s="97">
        <f t="shared" si="45"/>
        <v>25499.17707454148</v>
      </c>
      <c r="G315" s="97">
        <f t="shared" si="46"/>
        <v>50768.692573650886</v>
      </c>
      <c r="H315" s="97">
        <f t="shared" si="47"/>
        <v>2756.6216597753846</v>
      </c>
      <c r="J315" s="158">
        <f t="shared" si="42"/>
        <v>2046</v>
      </c>
      <c r="K315" s="15" t="s">
        <v>36</v>
      </c>
      <c r="L315" s="97">
        <f t="shared" si="44"/>
        <v>33769.212742515301</v>
      </c>
      <c r="M315" s="97">
        <f t="shared" si="39"/>
        <v>36296.172826858616</v>
      </c>
      <c r="N315" s="97">
        <f t="shared" si="40"/>
        <v>99929.32739765817</v>
      </c>
      <c r="O315" s="97">
        <f t="shared" si="41"/>
        <v>2756.6216597753846</v>
      </c>
    </row>
    <row r="316" spans="3:15" x14ac:dyDescent="0.3">
      <c r="C316" s="158">
        <f t="shared" si="37"/>
        <v>2047</v>
      </c>
      <c r="D316" s="15" t="s">
        <v>36</v>
      </c>
      <c r="E316" s="97">
        <f t="shared" si="43"/>
        <v>29758.195090396923</v>
      </c>
      <c r="F316" s="97">
        <f t="shared" si="45"/>
        <v>26009.16061603231</v>
      </c>
      <c r="G316" s="97">
        <f t="shared" si="46"/>
        <v>51784.066425123907</v>
      </c>
      <c r="H316" s="97">
        <f t="shared" si="47"/>
        <v>2811.7540929708925</v>
      </c>
      <c r="J316" s="158">
        <f t="shared" si="42"/>
        <v>2047</v>
      </c>
      <c r="K316" s="15" t="s">
        <v>36</v>
      </c>
      <c r="L316" s="97">
        <f t="shared" si="44"/>
        <v>34444.59699736561</v>
      </c>
      <c r="M316" s="97">
        <f t="shared" si="39"/>
        <v>37022.096283395789</v>
      </c>
      <c r="N316" s="97">
        <f t="shared" si="40"/>
        <v>101927.91394561133</v>
      </c>
      <c r="O316" s="97">
        <f t="shared" si="41"/>
        <v>2811.7540929708925</v>
      </c>
    </row>
    <row r="317" spans="3:15" x14ac:dyDescent="0.3">
      <c r="C317" s="158">
        <f t="shared" si="37"/>
        <v>2048</v>
      </c>
      <c r="D317" s="15" t="s">
        <v>36</v>
      </c>
      <c r="E317" s="97">
        <f t="shared" si="43"/>
        <v>30353.358992204863</v>
      </c>
      <c r="F317" s="97">
        <f t="shared" si="45"/>
        <v>26529.343828352958</v>
      </c>
      <c r="G317" s="97">
        <f t="shared" si="46"/>
        <v>52819.747753626383</v>
      </c>
      <c r="H317" s="97">
        <f t="shared" si="47"/>
        <v>2867.9891748303103</v>
      </c>
      <c r="J317" s="158">
        <f t="shared" si="42"/>
        <v>2048</v>
      </c>
      <c r="K317" s="15" t="s">
        <v>36</v>
      </c>
      <c r="L317" s="97">
        <f t="shared" si="44"/>
        <v>35133.488937312926</v>
      </c>
      <c r="M317" s="97">
        <f t="shared" si="39"/>
        <v>37762.538209063707</v>
      </c>
      <c r="N317" s="97">
        <f t="shared" si="40"/>
        <v>103966.47222452356</v>
      </c>
      <c r="O317" s="97">
        <f t="shared" si="41"/>
        <v>2867.9891748303103</v>
      </c>
    </row>
    <row r="318" spans="3:15" x14ac:dyDescent="0.3">
      <c r="C318" s="158">
        <f t="shared" si="37"/>
        <v>2049</v>
      </c>
      <c r="D318" s="15" t="s">
        <v>36</v>
      </c>
      <c r="E318" s="97">
        <f t="shared" si="43"/>
        <v>30960.426172048959</v>
      </c>
      <c r="F318" s="97">
        <f t="shared" si="45"/>
        <v>27059.930704920018</v>
      </c>
      <c r="G318" s="97">
        <f t="shared" si="46"/>
        <v>53876.142708698913</v>
      </c>
      <c r="H318" s="97">
        <f t="shared" si="47"/>
        <v>2925.3489583269165</v>
      </c>
      <c r="J318" s="158">
        <f t="shared" si="42"/>
        <v>2049</v>
      </c>
      <c r="K318" s="15" t="s">
        <v>36</v>
      </c>
      <c r="L318" s="97">
        <f t="shared" si="44"/>
        <v>35836.158716059188</v>
      </c>
      <c r="M318" s="97">
        <f t="shared" si="39"/>
        <v>38517.788973244984</v>
      </c>
      <c r="N318" s="97">
        <f t="shared" si="40"/>
        <v>106045.80166901404</v>
      </c>
      <c r="O318" s="97">
        <f t="shared" si="41"/>
        <v>2925.3489583269165</v>
      </c>
    </row>
    <row r="319" spans="3:15" x14ac:dyDescent="0.3">
      <c r="C319" s="158">
        <f t="shared" si="37"/>
        <v>2050</v>
      </c>
      <c r="D319" s="15" t="s">
        <v>36</v>
      </c>
      <c r="E319" s="97">
        <f t="shared" si="43"/>
        <v>31579.634695489938</v>
      </c>
      <c r="F319" s="97">
        <f t="shared" si="45"/>
        <v>27601.129319018419</v>
      </c>
      <c r="G319" s="97">
        <f t="shared" si="46"/>
        <v>54953.665562872891</v>
      </c>
      <c r="H319" s="97">
        <f t="shared" si="47"/>
        <v>2983.8559374934548</v>
      </c>
      <c r="J319" s="158">
        <f t="shared" si="42"/>
        <v>2050</v>
      </c>
      <c r="K319" s="15" t="s">
        <v>36</v>
      </c>
      <c r="L319" s="97">
        <f t="shared" si="44"/>
        <v>36552.881890380369</v>
      </c>
      <c r="M319" s="97">
        <f t="shared" si="39"/>
        <v>39288.144752709886</v>
      </c>
      <c r="N319" s="97">
        <f t="shared" si="40"/>
        <v>108166.71770239432</v>
      </c>
      <c r="O319" s="97">
        <f t="shared" si="41"/>
        <v>2983.8559374934548</v>
      </c>
    </row>
    <row r="321" spans="3:15" x14ac:dyDescent="0.3">
      <c r="C321" s="51" t="s">
        <v>362</v>
      </c>
      <c r="E321" s="127" t="s">
        <v>346</v>
      </c>
      <c r="F321" s="127" t="s">
        <v>321</v>
      </c>
      <c r="G321" s="127" t="s">
        <v>347</v>
      </c>
      <c r="H321" s="127" t="s">
        <v>323</v>
      </c>
      <c r="L321" s="127" t="s">
        <v>346</v>
      </c>
      <c r="M321" s="127" t="s">
        <v>321</v>
      </c>
      <c r="N321" s="127" t="s">
        <v>347</v>
      </c>
      <c r="O321" s="127" t="s">
        <v>323</v>
      </c>
    </row>
    <row r="322" spans="3:15" x14ac:dyDescent="0.3">
      <c r="C322" s="166" t="s">
        <v>361</v>
      </c>
      <c r="D322" s="15" t="s">
        <v>36</v>
      </c>
      <c r="E322" s="97">
        <f t="shared" ref="E322:H346" si="48">E295*$G175</f>
        <v>19633.737471445165</v>
      </c>
      <c r="F322" s="97">
        <f t="shared" si="48"/>
        <v>17160.21518901259</v>
      </c>
      <c r="G322" s="97">
        <f t="shared" si="48"/>
        <v>34165.874721442968</v>
      </c>
      <c r="H322" s="97">
        <f t="shared" si="48"/>
        <v>1855.127353253587</v>
      </c>
      <c r="I322" s="97"/>
      <c r="J322" s="158" t="s">
        <v>361</v>
      </c>
      <c r="K322" s="15" t="s">
        <v>36</v>
      </c>
      <c r="L322" s="97">
        <f t="shared" ref="L322:O346" si="49">L295*$G175</f>
        <v>22725.712117340121</v>
      </c>
      <c r="M322" s="97">
        <f t="shared" si="49"/>
        <v>24426.283814011491</v>
      </c>
      <c r="N322" s="97">
        <f t="shared" si="49"/>
        <v>67249.57267539356</v>
      </c>
      <c r="O322" s="97">
        <f t="shared" si="49"/>
        <v>1855.127353253587</v>
      </c>
    </row>
    <row r="323" spans="3:15" x14ac:dyDescent="0.3">
      <c r="C323" s="158">
        <f>C296</f>
        <v>2027</v>
      </c>
      <c r="D323" s="15" t="s">
        <v>36</v>
      </c>
      <c r="E323" s="97">
        <f t="shared" si="48"/>
        <v>19443.118661042787</v>
      </c>
      <c r="F323" s="97">
        <f t="shared" si="48"/>
        <v>16993.611158051302</v>
      </c>
      <c r="G323" s="97">
        <f t="shared" si="48"/>
        <v>33834.167199875563</v>
      </c>
      <c r="H323" s="97">
        <f t="shared" si="48"/>
        <v>1837.1164080763679</v>
      </c>
      <c r="I323" s="97"/>
      <c r="J323" s="158">
        <f>C323</f>
        <v>2027</v>
      </c>
      <c r="K323" s="15" t="s">
        <v>36</v>
      </c>
      <c r="L323" s="97">
        <f t="shared" si="49"/>
        <v>22505.074135618372</v>
      </c>
      <c r="M323" s="97">
        <f t="shared" si="49"/>
        <v>24189.135427467692</v>
      </c>
      <c r="N323" s="97">
        <f t="shared" si="49"/>
        <v>66596.66420281693</v>
      </c>
      <c r="O323" s="97">
        <f t="shared" si="49"/>
        <v>1837.1164080763679</v>
      </c>
    </row>
    <row r="324" spans="3:15" x14ac:dyDescent="0.3">
      <c r="C324" s="158">
        <f t="shared" ref="C324:C346" si="50">C297</f>
        <v>2028</v>
      </c>
      <c r="D324" s="15" t="s">
        <v>36</v>
      </c>
      <c r="E324" s="97">
        <f t="shared" si="48"/>
        <v>19254.350518702566</v>
      </c>
      <c r="F324" s="97">
        <f t="shared" si="48"/>
        <v>16828.624641953716</v>
      </c>
      <c r="G324" s="97">
        <f t="shared" si="48"/>
        <v>33505.680139682598</v>
      </c>
      <c r="H324" s="97">
        <f t="shared" si="48"/>
        <v>1819.2803264445583</v>
      </c>
      <c r="I324" s="97"/>
      <c r="J324" s="158">
        <f t="shared" ref="J324:J346" si="51">C324</f>
        <v>2028</v>
      </c>
      <c r="K324" s="15" t="s">
        <v>36</v>
      </c>
      <c r="L324" s="97">
        <f t="shared" si="49"/>
        <v>22286.578270224021</v>
      </c>
      <c r="M324" s="97">
        <f t="shared" si="49"/>
        <v>23954.289452443732</v>
      </c>
      <c r="N324" s="97">
        <f t="shared" si="49"/>
        <v>65950.094647449761</v>
      </c>
      <c r="O324" s="97">
        <f t="shared" si="49"/>
        <v>1819.2803264445583</v>
      </c>
    </row>
    <row r="325" spans="3:15" x14ac:dyDescent="0.3">
      <c r="C325" s="158">
        <f t="shared" si="50"/>
        <v>2029</v>
      </c>
      <c r="D325" s="15" t="s">
        <v>36</v>
      </c>
      <c r="E325" s="97">
        <f t="shared" si="48"/>
        <v>19067.415076773414</v>
      </c>
      <c r="F325" s="97">
        <f t="shared" si="48"/>
        <v>16665.239936692029</v>
      </c>
      <c r="G325" s="97">
        <f t="shared" si="48"/>
        <v>33180.38227424879</v>
      </c>
      <c r="H325" s="97">
        <f t="shared" si="48"/>
        <v>1801.6174106538344</v>
      </c>
      <c r="I325" s="97"/>
      <c r="J325" s="158">
        <f t="shared" si="51"/>
        <v>2029</v>
      </c>
      <c r="K325" s="15" t="s">
        <v>36</v>
      </c>
      <c r="L325" s="97">
        <f t="shared" si="49"/>
        <v>22070.203723911167</v>
      </c>
      <c r="M325" s="97">
        <f t="shared" si="49"/>
        <v>23721.723535429719</v>
      </c>
      <c r="N325" s="97">
        <f t="shared" si="49"/>
        <v>65309.802466406574</v>
      </c>
      <c r="O325" s="97">
        <f t="shared" si="49"/>
        <v>1801.6174106538344</v>
      </c>
    </row>
    <row r="326" spans="3:15" x14ac:dyDescent="0.3">
      <c r="C326" s="158">
        <f t="shared" si="50"/>
        <v>2030</v>
      </c>
      <c r="D326" s="15" t="s">
        <v>36</v>
      </c>
      <c r="E326" s="97">
        <f t="shared" si="48"/>
        <v>18882.294542047464</v>
      </c>
      <c r="F326" s="97">
        <f t="shared" si="48"/>
        <v>16503.441490704732</v>
      </c>
      <c r="G326" s="97">
        <f t="shared" si="48"/>
        <v>32858.24264051822</v>
      </c>
      <c r="H326" s="97">
        <f t="shared" si="48"/>
        <v>1784.1259794824382</v>
      </c>
      <c r="J326" s="158">
        <f t="shared" si="51"/>
        <v>2030</v>
      </c>
      <c r="K326" s="15" t="s">
        <v>36</v>
      </c>
      <c r="L326" s="97">
        <f t="shared" si="49"/>
        <v>21855.929901348925</v>
      </c>
      <c r="M326" s="97">
        <f t="shared" si="49"/>
        <v>23491.415539940113</v>
      </c>
      <c r="N326" s="97">
        <f t="shared" si="49"/>
        <v>64675.726714305543</v>
      </c>
      <c r="O326" s="97">
        <f t="shared" si="49"/>
        <v>1784.1259794824382</v>
      </c>
    </row>
    <row r="327" spans="3:15" x14ac:dyDescent="0.3">
      <c r="C327" s="158">
        <f t="shared" si="50"/>
        <v>2031</v>
      </c>
      <c r="D327" s="15" t="s">
        <v>36</v>
      </c>
      <c r="E327" s="97">
        <f t="shared" si="48"/>
        <v>18698.971294066421</v>
      </c>
      <c r="F327" s="97">
        <f t="shared" si="48"/>
        <v>16343.213903416337</v>
      </c>
      <c r="G327" s="97">
        <f t="shared" si="48"/>
        <v>32539.230576047175</v>
      </c>
      <c r="H327" s="97">
        <f t="shared" si="48"/>
        <v>1766.8043680311525</v>
      </c>
      <c r="J327" s="158">
        <f t="shared" si="51"/>
        <v>2031</v>
      </c>
      <c r="K327" s="15" t="s">
        <v>36</v>
      </c>
      <c r="L327" s="97">
        <f t="shared" si="49"/>
        <v>21643.736407161072</v>
      </c>
      <c r="M327" s="97">
        <f t="shared" si="49"/>
        <v>23263.343544406714</v>
      </c>
      <c r="N327" s="97">
        <f t="shared" si="49"/>
        <v>64047.807037467624</v>
      </c>
      <c r="O327" s="97">
        <f t="shared" si="49"/>
        <v>1766.8043680311525</v>
      </c>
    </row>
    <row r="328" spans="3:15" x14ac:dyDescent="0.3">
      <c r="C328" s="158">
        <f t="shared" si="50"/>
        <v>2032</v>
      </c>
      <c r="D328" s="15" t="s">
        <v>36</v>
      </c>
      <c r="E328" s="97">
        <f t="shared" si="48"/>
        <v>18517.427883444416</v>
      </c>
      <c r="F328" s="97">
        <f t="shared" si="48"/>
        <v>16184.541923771518</v>
      </c>
      <c r="G328" s="97">
        <f t="shared" si="48"/>
        <v>32223.315716085552</v>
      </c>
      <c r="H328" s="97">
        <f t="shared" si="48"/>
        <v>1749.6509275648307</v>
      </c>
      <c r="J328" s="158">
        <f t="shared" si="51"/>
        <v>2032</v>
      </c>
      <c r="K328" s="15" t="s">
        <v>36</v>
      </c>
      <c r="L328" s="97">
        <f t="shared" si="49"/>
        <v>21433.603043984753</v>
      </c>
      <c r="M328" s="97">
        <f t="shared" si="49"/>
        <v>23037.485840092086</v>
      </c>
      <c r="N328" s="97">
        <f t="shared" si="49"/>
        <v>63425.983668171823</v>
      </c>
      <c r="O328" s="97">
        <f t="shared" si="49"/>
        <v>1749.6509275648307</v>
      </c>
    </row>
    <row r="329" spans="3:15" x14ac:dyDescent="0.3">
      <c r="C329" s="158">
        <f t="shared" si="50"/>
        <v>2033</v>
      </c>
      <c r="D329" s="15" t="s">
        <v>36</v>
      </c>
      <c r="E329" s="97">
        <f t="shared" si="48"/>
        <v>18337.647030207092</v>
      </c>
      <c r="F329" s="97">
        <f t="shared" si="48"/>
        <v>16027.410448783448</v>
      </c>
      <c r="G329" s="97">
        <f t="shared" si="48"/>
        <v>31910.467990686666</v>
      </c>
      <c r="H329" s="97">
        <f t="shared" si="48"/>
        <v>1732.6640253554633</v>
      </c>
      <c r="J329" s="158">
        <f t="shared" si="51"/>
        <v>2033</v>
      </c>
      <c r="K329" s="15" t="s">
        <v>36</v>
      </c>
      <c r="L329" s="97">
        <f t="shared" si="49"/>
        <v>21225.50981054801</v>
      </c>
      <c r="M329" s="97">
        <f t="shared" si="49"/>
        <v>22813.820929023233</v>
      </c>
      <c r="N329" s="97">
        <f t="shared" si="49"/>
        <v>62810.197418966272</v>
      </c>
      <c r="O329" s="97">
        <f t="shared" si="49"/>
        <v>1732.6640253554633</v>
      </c>
    </row>
    <row r="330" spans="3:15" x14ac:dyDescent="0.3">
      <c r="C330" s="158">
        <f t="shared" si="50"/>
        <v>2034</v>
      </c>
      <c r="D330" s="15" t="s">
        <v>36</v>
      </c>
      <c r="E330" s="97">
        <f t="shared" si="48"/>
        <v>18159.611622146833</v>
      </c>
      <c r="F330" s="97">
        <f t="shared" si="48"/>
        <v>15871.80452209623</v>
      </c>
      <c r="G330" s="97">
        <f t="shared" si="48"/>
        <v>31600.657621845046</v>
      </c>
      <c r="H330" s="97">
        <f t="shared" si="48"/>
        <v>1715.8420445267698</v>
      </c>
      <c r="J330" s="158">
        <f t="shared" si="51"/>
        <v>2034</v>
      </c>
      <c r="K330" s="15" t="s">
        <v>36</v>
      </c>
      <c r="L330" s="97">
        <f t="shared" si="49"/>
        <v>21019.436899765991</v>
      </c>
      <c r="M330" s="97">
        <f t="shared" si="49"/>
        <v>22592.327521945335</v>
      </c>
      <c r="N330" s="97">
        <f t="shared" si="49"/>
        <v>62200.389677034567</v>
      </c>
      <c r="O330" s="97">
        <f t="shared" si="49"/>
        <v>1715.8420445267698</v>
      </c>
    </row>
    <row r="331" spans="3:15" x14ac:dyDescent="0.3">
      <c r="C331" s="158">
        <f t="shared" si="50"/>
        <v>2035</v>
      </c>
      <c r="D331" s="15" t="s">
        <v>36</v>
      </c>
      <c r="E331" s="97">
        <f t="shared" si="48"/>
        <v>17983.304713193949</v>
      </c>
      <c r="F331" s="97">
        <f t="shared" si="48"/>
        <v>15717.709332561317</v>
      </c>
      <c r="G331" s="97">
        <f t="shared" si="48"/>
        <v>31293.855120662087</v>
      </c>
      <c r="H331" s="97">
        <f t="shared" si="48"/>
        <v>1699.1833839002961</v>
      </c>
      <c r="J331" s="158">
        <f t="shared" si="51"/>
        <v>2035</v>
      </c>
      <c r="K331" s="15" t="s">
        <v>36</v>
      </c>
      <c r="L331" s="97">
        <f t="shared" si="49"/>
        <v>20815.364696855642</v>
      </c>
      <c r="M331" s="97">
        <f t="shared" si="49"/>
        <v>22372.984536295382</v>
      </c>
      <c r="N331" s="97">
        <f t="shared" si="49"/>
        <v>61596.502398616758</v>
      </c>
      <c r="O331" s="97">
        <f t="shared" si="49"/>
        <v>1699.1833839002961</v>
      </c>
    </row>
    <row r="332" spans="3:15" x14ac:dyDescent="0.3">
      <c r="C332" s="158">
        <f t="shared" si="50"/>
        <v>2036</v>
      </c>
      <c r="D332" s="15" t="s">
        <v>36</v>
      </c>
      <c r="E332" s="97">
        <f t="shared" si="48"/>
        <v>17808.709521803718</v>
      </c>
      <c r="F332" s="97">
        <f t="shared" si="48"/>
        <v>15565.110212827713</v>
      </c>
      <c r="G332" s="97">
        <f t="shared" si="48"/>
        <v>30990.031284539149</v>
      </c>
      <c r="H332" s="97">
        <f t="shared" si="48"/>
        <v>1682.686457843012</v>
      </c>
      <c r="J332" s="158">
        <f t="shared" si="51"/>
        <v>2036</v>
      </c>
      <c r="K332" s="15" t="s">
        <v>36</v>
      </c>
      <c r="L332" s="97">
        <f t="shared" si="49"/>
        <v>20613.273777468694</v>
      </c>
      <c r="M332" s="97">
        <f t="shared" si="49"/>
        <v>22155.771094195428</v>
      </c>
      <c r="N332" s="97">
        <f t="shared" si="49"/>
        <v>60998.478103484551</v>
      </c>
      <c r="O332" s="97">
        <f t="shared" si="49"/>
        <v>1682.686457843012</v>
      </c>
    </row>
    <row r="333" spans="3:15" x14ac:dyDescent="0.3">
      <c r="C333" s="158">
        <f t="shared" si="50"/>
        <v>2037</v>
      </c>
      <c r="D333" s="15" t="s">
        <v>36</v>
      </c>
      <c r="E333" s="97">
        <f t="shared" si="48"/>
        <v>17635.809429359022</v>
      </c>
      <c r="F333" s="97">
        <f t="shared" si="48"/>
        <v>15413.992637945892</v>
      </c>
      <c r="G333" s="97">
        <f t="shared" si="48"/>
        <v>30689.157194397994</v>
      </c>
      <c r="H333" s="97">
        <f t="shared" si="48"/>
        <v>1666.3496961163808</v>
      </c>
      <c r="J333" s="158">
        <f t="shared" si="51"/>
        <v>2037</v>
      </c>
      <c r="K333" s="15" t="s">
        <v>36</v>
      </c>
      <c r="L333" s="97">
        <f t="shared" si="49"/>
        <v>20413.144905842786</v>
      </c>
      <c r="M333" s="97">
        <f t="shared" si="49"/>
        <v>21940.666520465376</v>
      </c>
      <c r="N333" s="97">
        <f t="shared" si="49"/>
        <v>60406.259869470137</v>
      </c>
      <c r="O333" s="97">
        <f t="shared" si="49"/>
        <v>1666.3496961163808</v>
      </c>
    </row>
    <row r="334" spans="3:15" x14ac:dyDescent="0.3">
      <c r="C334" s="158">
        <f t="shared" si="50"/>
        <v>2038</v>
      </c>
      <c r="D334" s="15" t="s">
        <v>36</v>
      </c>
      <c r="E334" s="97">
        <f t="shared" si="48"/>
        <v>17464.587978588548</v>
      </c>
      <c r="F334" s="97">
        <f t="shared" si="48"/>
        <v>15264.342223985253</v>
      </c>
      <c r="G334" s="97">
        <f t="shared" si="48"/>
        <v>30391.20421192811</v>
      </c>
      <c r="H334" s="97">
        <f t="shared" si="48"/>
        <v>1650.1715437269013</v>
      </c>
      <c r="J334" s="158">
        <f t="shared" si="51"/>
        <v>2038</v>
      </c>
      <c r="K334" s="15" t="s">
        <v>36</v>
      </c>
      <c r="L334" s="97">
        <f t="shared" si="49"/>
        <v>20214.959032970528</v>
      </c>
      <c r="M334" s="97">
        <f t="shared" si="49"/>
        <v>21727.650340655033</v>
      </c>
      <c r="N334" s="97">
        <f t="shared" si="49"/>
        <v>59819.791327048108</v>
      </c>
      <c r="O334" s="97">
        <f t="shared" si="49"/>
        <v>1650.1715437269013</v>
      </c>
    </row>
    <row r="335" spans="3:15" x14ac:dyDescent="0.3">
      <c r="C335" s="158">
        <f t="shared" si="50"/>
        <v>2039</v>
      </c>
      <c r="D335" s="15" t="s">
        <v>36</v>
      </c>
      <c r="E335" s="97">
        <f t="shared" si="48"/>
        <v>17295.028872000308</v>
      </c>
      <c r="F335" s="97">
        <f t="shared" si="48"/>
        <v>15116.144726665008</v>
      </c>
      <c r="G335" s="97">
        <f t="shared" si="48"/>
        <v>30096.143976860851</v>
      </c>
      <c r="H335" s="97">
        <f t="shared" si="48"/>
        <v>1634.1504607780964</v>
      </c>
      <c r="J335" s="158">
        <f t="shared" si="51"/>
        <v>2039</v>
      </c>
      <c r="K335" s="15" t="s">
        <v>36</v>
      </c>
      <c r="L335" s="97">
        <f t="shared" si="49"/>
        <v>20018.697294786347</v>
      </c>
      <c r="M335" s="97">
        <f t="shared" si="49"/>
        <v>21516.702279095276</v>
      </c>
      <c r="N335" s="97">
        <f t="shared" si="49"/>
        <v>59239.016653969971</v>
      </c>
      <c r="O335" s="97">
        <f t="shared" si="49"/>
        <v>1634.1504607780964</v>
      </c>
    </row>
    <row r="336" spans="3:15" x14ac:dyDescent="0.3">
      <c r="C336" s="158">
        <f t="shared" si="50"/>
        <v>2040</v>
      </c>
      <c r="D336" s="15" t="s">
        <v>36</v>
      </c>
      <c r="E336" s="97">
        <f t="shared" si="48"/>
        <v>17127.115970330404</v>
      </c>
      <c r="F336" s="97">
        <f t="shared" si="48"/>
        <v>14969.386039998359</v>
      </c>
      <c r="G336" s="97">
        <f t="shared" si="48"/>
        <v>29803.94840426997</v>
      </c>
      <c r="H336" s="97">
        <f t="shared" si="48"/>
        <v>1618.2849223239402</v>
      </c>
      <c r="J336" s="158">
        <f t="shared" si="51"/>
        <v>2040</v>
      </c>
      <c r="K336" s="15" t="s">
        <v>36</v>
      </c>
      <c r="L336" s="97">
        <f t="shared" si="49"/>
        <v>19824.341010370947</v>
      </c>
      <c r="M336" s="97">
        <f t="shared" si="49"/>
        <v>21307.802256968138</v>
      </c>
      <c r="N336" s="97">
        <f t="shared" si="49"/>
        <v>58663.880569950845</v>
      </c>
      <c r="O336" s="97">
        <f t="shared" si="49"/>
        <v>1618.2849223239402</v>
      </c>
    </row>
    <row r="337" spans="3:15" x14ac:dyDescent="0.3">
      <c r="C337" s="158">
        <f t="shared" si="50"/>
        <v>2041</v>
      </c>
      <c r="D337" s="15" t="s">
        <v>36</v>
      </c>
      <c r="E337" s="97">
        <f t="shared" si="48"/>
        <v>16960.833291006809</v>
      </c>
      <c r="F337" s="97">
        <f t="shared" si="48"/>
        <v>14824.052194949832</v>
      </c>
      <c r="G337" s="97">
        <f t="shared" si="48"/>
        <v>29514.589681898418</v>
      </c>
      <c r="H337" s="97">
        <f t="shared" si="48"/>
        <v>1602.5734182237079</v>
      </c>
      <c r="J337" s="158">
        <f t="shared" si="51"/>
        <v>2041</v>
      </c>
      <c r="K337" s="15" t="s">
        <v>36</v>
      </c>
      <c r="L337" s="97">
        <f t="shared" si="49"/>
        <v>19631.871680173175</v>
      </c>
      <c r="M337" s="97">
        <f t="shared" si="49"/>
        <v>21100.930390395635</v>
      </c>
      <c r="N337" s="97">
        <f t="shared" si="49"/>
        <v>58094.328331407647</v>
      </c>
      <c r="O337" s="97">
        <f t="shared" si="49"/>
        <v>1602.5734182237079</v>
      </c>
    </row>
    <row r="338" spans="3:15" x14ac:dyDescent="0.3">
      <c r="C338" s="158">
        <f t="shared" si="50"/>
        <v>2042</v>
      </c>
      <c r="D338" s="15" t="s">
        <v>36</v>
      </c>
      <c r="E338" s="97">
        <f t="shared" si="48"/>
        <v>16796.165006628104</v>
      </c>
      <c r="F338" s="97">
        <f t="shared" si="48"/>
        <v>14680.12935810566</v>
      </c>
      <c r="G338" s="97">
        <f t="shared" si="48"/>
        <v>29228.040267511056</v>
      </c>
      <c r="H338" s="97">
        <f t="shared" si="48"/>
        <v>1587.0144529982351</v>
      </c>
      <c r="J338" s="158">
        <f t="shared" si="51"/>
        <v>2042</v>
      </c>
      <c r="K338" s="15" t="s">
        <v>36</v>
      </c>
      <c r="L338" s="97">
        <f t="shared" si="49"/>
        <v>19441.270984249164</v>
      </c>
      <c r="M338" s="97">
        <f t="shared" si="49"/>
        <v>20896.066988547136</v>
      </c>
      <c r="N338" s="97">
        <f t="shared" si="49"/>
        <v>57530.305726248349</v>
      </c>
      <c r="O338" s="97">
        <f t="shared" si="49"/>
        <v>1587.0144529982351</v>
      </c>
    </row>
    <row r="339" spans="3:15" x14ac:dyDescent="0.3">
      <c r="C339" s="158">
        <f t="shared" si="50"/>
        <v>2043</v>
      </c>
      <c r="D339" s="15" t="s">
        <v>36</v>
      </c>
      <c r="E339" s="97">
        <f t="shared" si="48"/>
        <v>16633.095443456958</v>
      </c>
      <c r="F339" s="97">
        <f t="shared" si="48"/>
        <v>14537.603830357064</v>
      </c>
      <c r="G339" s="97">
        <f t="shared" si="48"/>
        <v>28944.272886273087</v>
      </c>
      <c r="H339" s="97">
        <f t="shared" si="48"/>
        <v>1571.6065456875726</v>
      </c>
      <c r="J339" s="158">
        <f t="shared" si="51"/>
        <v>2043</v>
      </c>
      <c r="K339" s="15" t="s">
        <v>36</v>
      </c>
      <c r="L339" s="97">
        <f t="shared" si="49"/>
        <v>19252.520780518589</v>
      </c>
      <c r="M339" s="97">
        <f t="shared" si="49"/>
        <v>20693.192551765125</v>
      </c>
      <c r="N339" s="97">
        <f t="shared" si="49"/>
        <v>56971.759068711952</v>
      </c>
      <c r="O339" s="97">
        <f t="shared" si="49"/>
        <v>1571.6065456875726</v>
      </c>
    </row>
    <row r="340" spans="3:15" x14ac:dyDescent="0.3">
      <c r="C340" s="158">
        <f t="shared" si="50"/>
        <v>2044</v>
      </c>
      <c r="D340" s="15" t="s">
        <v>36</v>
      </c>
      <c r="E340" s="97">
        <f t="shared" si="48"/>
        <v>16471.609079928247</v>
      </c>
      <c r="F340" s="97">
        <f t="shared" si="48"/>
        <v>14396.462045596314</v>
      </c>
      <c r="G340" s="97">
        <f t="shared" si="48"/>
        <v>28663.260528153933</v>
      </c>
      <c r="H340" s="97">
        <f t="shared" si="48"/>
        <v>1556.3482297100234</v>
      </c>
      <c r="J340" s="158">
        <f t="shared" si="51"/>
        <v>2044</v>
      </c>
      <c r="K340" s="15" t="s">
        <v>36</v>
      </c>
      <c r="L340" s="97">
        <f t="shared" si="49"/>
        <v>19065.603103037825</v>
      </c>
      <c r="M340" s="97">
        <f t="shared" si="49"/>
        <v>20492.287769709154</v>
      </c>
      <c r="N340" s="97">
        <f t="shared" si="49"/>
        <v>56418.635194258437</v>
      </c>
      <c r="O340" s="97">
        <f t="shared" si="49"/>
        <v>1556.3482297100234</v>
      </c>
    </row>
    <row r="341" spans="3:15" x14ac:dyDescent="0.3">
      <c r="C341" s="158">
        <f t="shared" si="50"/>
        <v>2045</v>
      </c>
      <c r="D341" s="15" t="s">
        <v>36</v>
      </c>
      <c r="E341" s="97">
        <f t="shared" si="48"/>
        <v>16311.690545171663</v>
      </c>
      <c r="F341" s="97">
        <f t="shared" si="48"/>
        <v>14256.690569425476</v>
      </c>
      <c r="G341" s="97">
        <f t="shared" si="48"/>
        <v>28384.976445356322</v>
      </c>
      <c r="H341" s="97">
        <f t="shared" si="48"/>
        <v>1541.2380527225475</v>
      </c>
      <c r="J341" s="158">
        <f t="shared" si="51"/>
        <v>2045</v>
      </c>
      <c r="K341" s="15" t="s">
        <v>36</v>
      </c>
      <c r="L341" s="97">
        <f t="shared" si="49"/>
        <v>18880.500160289885</v>
      </c>
      <c r="M341" s="97">
        <f t="shared" si="49"/>
        <v>20293.333519517801</v>
      </c>
      <c r="N341" s="97">
        <f t="shared" si="49"/>
        <v>55870.881454508359</v>
      </c>
      <c r="O341" s="97">
        <f t="shared" si="49"/>
        <v>1541.2380527225475</v>
      </c>
    </row>
    <row r="342" spans="3:15" x14ac:dyDescent="0.3">
      <c r="C342" s="158">
        <f t="shared" si="50"/>
        <v>2046</v>
      </c>
      <c r="D342" s="15" t="s">
        <v>36</v>
      </c>
      <c r="E342" s="97">
        <f t="shared" si="48"/>
        <v>16153.324617548638</v>
      </c>
      <c r="F342" s="97">
        <f t="shared" si="48"/>
        <v>14118.276097877659</v>
      </c>
      <c r="G342" s="97">
        <f t="shared" si="48"/>
        <v>28109.394149770342</v>
      </c>
      <c r="H342" s="97">
        <f t="shared" si="48"/>
        <v>1526.2745764825229</v>
      </c>
      <c r="J342" s="158">
        <f t="shared" si="51"/>
        <v>2046</v>
      </c>
      <c r="K342" s="15" t="s">
        <v>36</v>
      </c>
      <c r="L342" s="97">
        <f t="shared" si="49"/>
        <v>18697.194333490956</v>
      </c>
      <c r="M342" s="97">
        <f t="shared" si="49"/>
        <v>20096.310863988507</v>
      </c>
      <c r="N342" s="97">
        <f t="shared" si="49"/>
        <v>55328.445712231587</v>
      </c>
      <c r="O342" s="97">
        <f t="shared" si="49"/>
        <v>1526.2745764825229</v>
      </c>
    </row>
    <row r="343" spans="3:15" x14ac:dyDescent="0.3">
      <c r="C343" s="158">
        <f t="shared" si="50"/>
        <v>2047</v>
      </c>
      <c r="D343" s="15" t="s">
        <v>36</v>
      </c>
      <c r="E343" s="97">
        <f t="shared" si="48"/>
        <v>15996.496223203505</v>
      </c>
      <c r="F343" s="97">
        <f t="shared" si="48"/>
        <v>13981.205456150692</v>
      </c>
      <c r="G343" s="97">
        <f t="shared" si="48"/>
        <v>27836.487410452188</v>
      </c>
      <c r="H343" s="97">
        <f t="shared" si="48"/>
        <v>1511.456376710848</v>
      </c>
      <c r="J343" s="158">
        <f t="shared" si="51"/>
        <v>2047</v>
      </c>
      <c r="K343" s="15" t="s">
        <v>36</v>
      </c>
      <c r="L343" s="97">
        <f t="shared" si="49"/>
        <v>18515.668174913375</v>
      </c>
      <c r="M343" s="97">
        <f t="shared" si="49"/>
        <v>19901.201049775027</v>
      </c>
      <c r="N343" s="97">
        <f t="shared" si="49"/>
        <v>54791.276336384675</v>
      </c>
      <c r="O343" s="97">
        <f t="shared" si="49"/>
        <v>1511.456376710848</v>
      </c>
    </row>
    <row r="344" spans="3:15" x14ac:dyDescent="0.3">
      <c r="C344" s="158">
        <f t="shared" si="50"/>
        <v>2048</v>
      </c>
      <c r="D344" s="15" t="s">
        <v>36</v>
      </c>
      <c r="E344" s="97">
        <f t="shared" si="48"/>
        <v>15841.190434628716</v>
      </c>
      <c r="F344" s="97">
        <f t="shared" si="48"/>
        <v>13845.465597353113</v>
      </c>
      <c r="G344" s="97">
        <f t="shared" si="48"/>
        <v>27566.23025112741</v>
      </c>
      <c r="H344" s="97">
        <f t="shared" si="48"/>
        <v>1496.7820429563737</v>
      </c>
      <c r="J344" s="158">
        <f t="shared" si="51"/>
        <v>2048</v>
      </c>
      <c r="K344" s="15" t="s">
        <v>36</v>
      </c>
      <c r="L344" s="97">
        <f t="shared" si="49"/>
        <v>18335.904406224901</v>
      </c>
      <c r="M344" s="97">
        <f t="shared" si="49"/>
        <v>19707.985505602453</v>
      </c>
      <c r="N344" s="97">
        <f t="shared" si="49"/>
        <v>54259.322197196481</v>
      </c>
      <c r="O344" s="97">
        <f t="shared" si="49"/>
        <v>1496.7820429563737</v>
      </c>
    </row>
    <row r="345" spans="3:15" x14ac:dyDescent="0.3">
      <c r="C345" s="158">
        <f t="shared" si="50"/>
        <v>2049</v>
      </c>
      <c r="D345" s="15" t="s">
        <v>36</v>
      </c>
      <c r="E345" s="97">
        <f t="shared" si="48"/>
        <v>15687.392469243969</v>
      </c>
      <c r="F345" s="97">
        <f t="shared" si="48"/>
        <v>13711.043601262307</v>
      </c>
      <c r="G345" s="97">
        <f t="shared" si="48"/>
        <v>27298.596947718404</v>
      </c>
      <c r="H345" s="97">
        <f t="shared" si="48"/>
        <v>1482.2501784616516</v>
      </c>
      <c r="J345" s="158">
        <f t="shared" si="51"/>
        <v>2049</v>
      </c>
      <c r="K345" s="15" t="s">
        <v>36</v>
      </c>
      <c r="L345" s="97">
        <f t="shared" si="49"/>
        <v>18157.885916844076</v>
      </c>
      <c r="M345" s="97">
        <f t="shared" si="49"/>
        <v>19516.645840499517</v>
      </c>
      <c r="N345" s="97">
        <f t="shared" si="49"/>
        <v>53732.532661301368</v>
      </c>
      <c r="O345" s="97">
        <f t="shared" si="49"/>
        <v>1482.2501784616516</v>
      </c>
    </row>
    <row r="346" spans="3:15" x14ac:dyDescent="0.3">
      <c r="C346" s="158">
        <f t="shared" si="50"/>
        <v>2050</v>
      </c>
      <c r="D346" s="15" t="s">
        <v>36</v>
      </c>
      <c r="E346" s="97">
        <f t="shared" si="48"/>
        <v>15535.087687989173</v>
      </c>
      <c r="F346" s="97">
        <f t="shared" si="48"/>
        <v>13577.926673094711</v>
      </c>
      <c r="G346" s="97">
        <f t="shared" si="48"/>
        <v>27033.562025895895</v>
      </c>
      <c r="H346" s="97">
        <f t="shared" si="48"/>
        <v>1467.8594000299852</v>
      </c>
      <c r="J346" s="158">
        <f t="shared" si="51"/>
        <v>2050</v>
      </c>
      <c r="K346" s="15" t="s">
        <v>36</v>
      </c>
      <c r="L346" s="97">
        <f t="shared" si="49"/>
        <v>17981.595762311608</v>
      </c>
      <c r="M346" s="97">
        <f t="shared" si="49"/>
        <v>19327.163842048067</v>
      </c>
      <c r="N346" s="97">
        <f t="shared" si="49"/>
        <v>53210.857586919803</v>
      </c>
      <c r="O346" s="97">
        <f t="shared" si="49"/>
        <v>1467.8594000299852</v>
      </c>
    </row>
    <row r="348" spans="3:15" x14ac:dyDescent="0.3">
      <c r="C348" s="51" t="s">
        <v>363</v>
      </c>
      <c r="E348" s="127" t="s">
        <v>346</v>
      </c>
      <c r="F348" s="127" t="s">
        <v>321</v>
      </c>
      <c r="G348" s="127" t="s">
        <v>347</v>
      </c>
      <c r="H348" s="127" t="s">
        <v>323</v>
      </c>
      <c r="L348" s="127" t="s">
        <v>346</v>
      </c>
      <c r="M348" s="127" t="s">
        <v>321</v>
      </c>
      <c r="N348" s="127" t="s">
        <v>347</v>
      </c>
      <c r="O348" s="127" t="s">
        <v>323</v>
      </c>
    </row>
    <row r="349" spans="3:15" x14ac:dyDescent="0.3">
      <c r="C349" s="105" t="s">
        <v>352</v>
      </c>
      <c r="E349" s="97"/>
      <c r="F349" s="97"/>
      <c r="G349" s="97"/>
      <c r="H349" s="97"/>
      <c r="I349" s="97"/>
      <c r="J349" s="105" t="s">
        <v>353</v>
      </c>
    </row>
    <row r="350" spans="3:15" x14ac:dyDescent="0.3">
      <c r="C350" s="127" t="s">
        <v>314</v>
      </c>
      <c r="F350" s="42"/>
      <c r="J350" s="127" t="s">
        <v>314</v>
      </c>
    </row>
    <row r="351" spans="3:15" x14ac:dyDescent="0.3">
      <c r="C351" s="155">
        <v>1</v>
      </c>
      <c r="D351" s="15" t="s">
        <v>36</v>
      </c>
      <c r="E351" s="42">
        <f>SUM(E$322:E322)/$C351</f>
        <v>19633.737471445165</v>
      </c>
      <c r="F351" s="42">
        <f>SUM(F$322:F322)/$C351</f>
        <v>17160.21518901259</v>
      </c>
      <c r="G351" s="42">
        <f>SUM(G$322:G322)/$C351</f>
        <v>34165.874721442968</v>
      </c>
      <c r="H351" s="42">
        <f>SUM(H$322:H322)/$C351</f>
        <v>1855.127353253587</v>
      </c>
      <c r="J351" s="17">
        <f t="shared" ref="J351:J355" si="52">C351</f>
        <v>1</v>
      </c>
      <c r="K351" s="15" t="s">
        <v>36</v>
      </c>
      <c r="L351" s="42">
        <f>SUM(L$322:L322)/$C351</f>
        <v>22725.712117340121</v>
      </c>
      <c r="M351" s="42">
        <f>SUM(M$322:M322)/$C351</f>
        <v>24426.283814011491</v>
      </c>
      <c r="N351" s="42">
        <f>SUM(N$322:N322)/$C351</f>
        <v>67249.57267539356</v>
      </c>
      <c r="O351" s="42">
        <f>SUM(O$322:O322)/$C351</f>
        <v>1855.127353253587</v>
      </c>
    </row>
    <row r="352" spans="3:15" x14ac:dyDescent="0.3">
      <c r="C352" s="155">
        <v>2</v>
      </c>
      <c r="D352" s="15" t="s">
        <v>36</v>
      </c>
      <c r="E352" s="42">
        <f>SUM(E$322:E323)/$C352</f>
        <v>19538.428066243978</v>
      </c>
      <c r="F352" s="42">
        <f>SUM(F$322:F323)/$C352</f>
        <v>17076.913173531946</v>
      </c>
      <c r="G352" s="42">
        <f>SUM(G$322:G323)/$C352</f>
        <v>34000.020960659269</v>
      </c>
      <c r="H352" s="42">
        <f>SUM(H$322:H323)/$C352</f>
        <v>1846.1218806649774</v>
      </c>
      <c r="J352" s="17">
        <f t="shared" si="52"/>
        <v>2</v>
      </c>
      <c r="K352" s="15" t="s">
        <v>36</v>
      </c>
      <c r="L352" s="42">
        <f>SUM(L$322:L323)/$C352</f>
        <v>22615.393126479248</v>
      </c>
      <c r="M352" s="42">
        <f>SUM(M$322:M323)/$C352</f>
        <v>24307.709620739592</v>
      </c>
      <c r="N352" s="42">
        <f>SUM(N$322:N323)/$C352</f>
        <v>66923.118439105252</v>
      </c>
      <c r="O352" s="42">
        <f>SUM(O$322:O323)/$C352</f>
        <v>1846.1218806649774</v>
      </c>
    </row>
    <row r="353" spans="3:15" x14ac:dyDescent="0.3">
      <c r="C353" s="155">
        <v>3</v>
      </c>
      <c r="D353" s="15" t="s">
        <v>36</v>
      </c>
      <c r="E353" s="42">
        <f>SUM(E$322:E324)/$C353</f>
        <v>19443.735550396839</v>
      </c>
      <c r="F353" s="42">
        <f>SUM(F$322:F324)/$C353</f>
        <v>16994.150329672539</v>
      </c>
      <c r="G353" s="42">
        <f>SUM(G$322:G324)/$C353</f>
        <v>33835.240687000383</v>
      </c>
      <c r="H353" s="42">
        <f>SUM(H$322:H324)/$C353</f>
        <v>1837.1746959248376</v>
      </c>
      <c r="J353" s="17">
        <f t="shared" si="52"/>
        <v>3</v>
      </c>
      <c r="K353" s="15" t="s">
        <v>36</v>
      </c>
      <c r="L353" s="42">
        <f>SUM(L$322:L324)/$C353</f>
        <v>22505.788174394173</v>
      </c>
      <c r="M353" s="42">
        <f>SUM(M$322:M324)/$C353</f>
        <v>24189.902897974305</v>
      </c>
      <c r="N353" s="42">
        <f>SUM(N$322:N324)/$C353</f>
        <v>66598.777175220093</v>
      </c>
      <c r="O353" s="42">
        <f>SUM(O$322:O324)/$C353</f>
        <v>1837.1746959248376</v>
      </c>
    </row>
    <row r="354" spans="3:15" x14ac:dyDescent="0.3">
      <c r="C354" s="155">
        <v>4</v>
      </c>
      <c r="D354" s="15" t="s">
        <v>36</v>
      </c>
      <c r="E354" s="42">
        <f>SUM(E$322:E325)/$C354</f>
        <v>19349.655431990985</v>
      </c>
      <c r="F354" s="42">
        <f>SUM(F$322:F325)/$C354</f>
        <v>16911.92273142741</v>
      </c>
      <c r="G354" s="42">
        <f>SUM(G$322:G325)/$C354</f>
        <v>33671.526083812481</v>
      </c>
      <c r="H354" s="42">
        <f>SUM(H$322:H325)/$C354</f>
        <v>1828.2853746070869</v>
      </c>
      <c r="J354" s="17">
        <f t="shared" si="52"/>
        <v>4</v>
      </c>
      <c r="K354" s="15" t="s">
        <v>36</v>
      </c>
      <c r="L354" s="42">
        <f>SUM(L$322:L325)/$C354</f>
        <v>22396.892061773422</v>
      </c>
      <c r="M354" s="42">
        <f>SUM(M$322:M325)/$C354</f>
        <v>24072.858057338159</v>
      </c>
      <c r="N354" s="42">
        <f>SUM(N$322:N325)/$C354</f>
        <v>66276.53349801671</v>
      </c>
      <c r="O354" s="42">
        <f>SUM(O$322:O325)/$C354</f>
        <v>1828.2853746070869</v>
      </c>
    </row>
    <row r="355" spans="3:15" x14ac:dyDescent="0.3">
      <c r="C355" s="155">
        <v>5</v>
      </c>
      <c r="D355" s="15" t="s">
        <v>36</v>
      </c>
      <c r="E355" s="42">
        <f>SUM(E$322:E326)/$C355</f>
        <v>19256.183254002281</v>
      </c>
      <c r="F355" s="42">
        <f>SUM(F$322:F326)/$C355</f>
        <v>16830.226483282873</v>
      </c>
      <c r="G355" s="42">
        <f>SUM(G$322:G326)/$C355</f>
        <v>33508.869395153633</v>
      </c>
      <c r="H355" s="42">
        <f>SUM(H$322:H326)/$C355</f>
        <v>1819.4534955821571</v>
      </c>
      <c r="J355" s="17">
        <f t="shared" si="52"/>
        <v>5</v>
      </c>
      <c r="K355" s="15" t="s">
        <v>36</v>
      </c>
      <c r="L355" s="42">
        <f>SUM(L$322:L326)/$C355</f>
        <v>22288.699629688523</v>
      </c>
      <c r="M355" s="42">
        <f>SUM(M$322:M326)/$C355</f>
        <v>23956.56955385855</v>
      </c>
      <c r="N355" s="42">
        <f>SUM(N$322:N326)/$C355</f>
        <v>65956.372141274478</v>
      </c>
      <c r="O355" s="42">
        <f>SUM(O$322:O326)/$C355</f>
        <v>1819.4534955821571</v>
      </c>
    </row>
    <row r="356" spans="3:15" x14ac:dyDescent="0.3">
      <c r="C356" s="155">
        <v>6</v>
      </c>
      <c r="D356" s="15" t="s">
        <v>36</v>
      </c>
      <c r="E356" s="42">
        <f>SUM(E$322:E327)/$C356</f>
        <v>19163.314594012969</v>
      </c>
      <c r="F356" s="42">
        <f>SUM(F$322:F327)/$C356</f>
        <v>16749.057719971785</v>
      </c>
      <c r="G356" s="42">
        <f>SUM(G$322:G327)/$C356</f>
        <v>33347.262925302559</v>
      </c>
      <c r="H356" s="42">
        <f>SUM(H$322:H327)/$C356</f>
        <v>1810.6786409903232</v>
      </c>
      <c r="J356" s="17">
        <f t="shared" ref="J356:J375" si="53">C356</f>
        <v>6</v>
      </c>
      <c r="K356" s="15" t="s">
        <v>36</v>
      </c>
      <c r="L356" s="42">
        <f>SUM(L$322:L327)/$C356</f>
        <v>22181.205759267279</v>
      </c>
      <c r="M356" s="42">
        <f>SUM(M$322:M327)/$C356</f>
        <v>23841.03188561658</v>
      </c>
      <c r="N356" s="42">
        <f>SUM(N$322:N327)/$C356</f>
        <v>65638.277957306665</v>
      </c>
      <c r="O356" s="42">
        <f>SUM(O$322:O327)/$C356</f>
        <v>1810.6786409903232</v>
      </c>
    </row>
    <row r="357" spans="3:15" x14ac:dyDescent="0.3">
      <c r="C357" s="155">
        <v>7</v>
      </c>
      <c r="D357" s="15" t="s">
        <v>36</v>
      </c>
      <c r="E357" s="42">
        <f>SUM(E$322:E328)/$C357</f>
        <v>19071.04506393175</v>
      </c>
      <c r="F357" s="42">
        <f>SUM(F$322:F328)/$C357</f>
        <v>16668.412606228892</v>
      </c>
      <c r="G357" s="42">
        <f>SUM(G$322:G328)/$C357</f>
        <v>33186.699038271552</v>
      </c>
      <c r="H357" s="42">
        <f>SUM(H$322:H328)/$C357</f>
        <v>1801.9603962152528</v>
      </c>
      <c r="J357" s="17">
        <f t="shared" si="53"/>
        <v>7</v>
      </c>
      <c r="K357" s="15" t="s">
        <v>36</v>
      </c>
      <c r="L357" s="42">
        <f>SUM(L$322:L328)/$C357</f>
        <v>22074.405371369776</v>
      </c>
      <c r="M357" s="42">
        <f>SUM(M$322:M328)/$C357</f>
        <v>23726.239593398794</v>
      </c>
      <c r="N357" s="42">
        <f>SUM(N$322:N328)/$C357</f>
        <v>65322.235916001679</v>
      </c>
      <c r="O357" s="42">
        <f>SUM(O$322:O328)/$C357</f>
        <v>1801.9603962152528</v>
      </c>
    </row>
    <row r="358" spans="3:15" x14ac:dyDescent="0.3">
      <c r="C358" s="155">
        <v>8</v>
      </c>
      <c r="D358" s="15" t="s">
        <v>36</v>
      </c>
      <c r="E358" s="42">
        <f>SUM(E$322:E329)/$C358</f>
        <v>18979.370309716167</v>
      </c>
      <c r="F358" s="42">
        <f>SUM(F$322:F329)/$C358</f>
        <v>16588.287336548212</v>
      </c>
      <c r="G358" s="42">
        <f>SUM(G$322:G329)/$C358</f>
        <v>33027.170157323446</v>
      </c>
      <c r="H358" s="42">
        <f>SUM(H$322:H329)/$C358</f>
        <v>1793.2983498577792</v>
      </c>
      <c r="J358" s="17">
        <f t="shared" si="53"/>
        <v>8</v>
      </c>
      <c r="K358" s="15" t="s">
        <v>36</v>
      </c>
      <c r="L358" s="42">
        <f>SUM(L$322:L329)/$C358</f>
        <v>21968.293426267057</v>
      </c>
      <c r="M358" s="42">
        <f>SUM(M$322:M329)/$C358</f>
        <v>23612.18726035185</v>
      </c>
      <c r="N358" s="42">
        <f>SUM(N$322:N329)/$C358</f>
        <v>65008.231103872255</v>
      </c>
      <c r="O358" s="42">
        <f>SUM(O$322:O329)/$C358</f>
        <v>1793.2983498577792</v>
      </c>
    </row>
    <row r="359" spans="3:15" x14ac:dyDescent="0.3">
      <c r="C359" s="155">
        <v>9</v>
      </c>
      <c r="D359" s="15" t="s">
        <v>36</v>
      </c>
      <c r="E359" s="42">
        <f>SUM(E$322:E330)/$C359</f>
        <v>18888.286011097352</v>
      </c>
      <c r="F359" s="42">
        <f>SUM(F$322:F330)/$C359</f>
        <v>16508.678134942438</v>
      </c>
      <c r="G359" s="42">
        <f>SUM(G$322:G330)/$C359</f>
        <v>32868.668764492511</v>
      </c>
      <c r="H359" s="42">
        <f>SUM(H$322:H330)/$C359</f>
        <v>1784.6920937098891</v>
      </c>
      <c r="J359" s="17">
        <f t="shared" si="53"/>
        <v>9</v>
      </c>
      <c r="K359" s="15" t="s">
        <v>36</v>
      </c>
      <c r="L359" s="42">
        <f>SUM(L$322:L330)/$C359</f>
        <v>21862.864923322497</v>
      </c>
      <c r="M359" s="42">
        <f>SUM(M$322:M330)/$C359</f>
        <v>23498.869511640016</v>
      </c>
      <c r="N359" s="42">
        <f>SUM(N$322:N330)/$C359</f>
        <v>64696.248723112512</v>
      </c>
      <c r="O359" s="42">
        <f>SUM(O$322:O330)/$C359</f>
        <v>1784.6920937098891</v>
      </c>
    </row>
    <row r="360" spans="3:15" x14ac:dyDescent="0.3">
      <c r="C360" s="155">
        <v>10</v>
      </c>
      <c r="D360" s="15" t="s">
        <v>36</v>
      </c>
      <c r="E360" s="42">
        <f>SUM(E$322:E331)/$C360</f>
        <v>18797.787881307009</v>
      </c>
      <c r="F360" s="42">
        <f>SUM(F$322:F331)/$C360</f>
        <v>16429.581254704324</v>
      </c>
      <c r="G360" s="42">
        <f>SUM(G$322:G331)/$C360</f>
        <v>32711.187400109466</v>
      </c>
      <c r="H360" s="42">
        <f>SUM(H$322:H331)/$C360</f>
        <v>1776.14122272893</v>
      </c>
      <c r="J360" s="17">
        <f t="shared" si="53"/>
        <v>10</v>
      </c>
      <c r="K360" s="15" t="s">
        <v>36</v>
      </c>
      <c r="L360" s="42">
        <f>SUM(L$322:L331)/$C360</f>
        <v>21758.114900675813</v>
      </c>
      <c r="M360" s="42">
        <f>SUM(M$322:M331)/$C360</f>
        <v>23386.281014105552</v>
      </c>
      <c r="N360" s="42">
        <f>SUM(N$322:N331)/$C360</f>
        <v>64386.274090662933</v>
      </c>
      <c r="O360" s="42">
        <f>SUM(O$322:O331)/$C360</f>
        <v>1776.14122272893</v>
      </c>
    </row>
    <row r="361" spans="3:15" x14ac:dyDescent="0.3">
      <c r="C361" s="155">
        <v>11</v>
      </c>
      <c r="D361" s="15" t="s">
        <v>36</v>
      </c>
      <c r="E361" s="42">
        <f>SUM(E$322:E332)/$C361</f>
        <v>18707.87166680671</v>
      </c>
      <c r="F361" s="42">
        <f>SUM(F$322:F332)/$C361</f>
        <v>16350.992978170088</v>
      </c>
      <c r="G361" s="42">
        <f>SUM(G$322:G332)/$C361</f>
        <v>32554.718662330346</v>
      </c>
      <c r="H361" s="42">
        <f>SUM(H$322:H332)/$C361</f>
        <v>1767.6453350120282</v>
      </c>
      <c r="J361" s="17">
        <f t="shared" si="53"/>
        <v>11</v>
      </c>
      <c r="K361" s="15" t="s">
        <v>36</v>
      </c>
      <c r="L361" s="42">
        <f>SUM(L$322:L332)/$C361</f>
        <v>21654.038434929709</v>
      </c>
      <c r="M361" s="42">
        <f>SUM(M$322:M332)/$C361</f>
        <v>23274.416475931906</v>
      </c>
      <c r="N361" s="42">
        <f>SUM(N$322:N332)/$C361</f>
        <v>64078.292637283092</v>
      </c>
      <c r="O361" s="42">
        <f>SUM(O$322:O332)/$C361</f>
        <v>1767.6453350120282</v>
      </c>
    </row>
    <row r="362" spans="3:15" x14ac:dyDescent="0.3">
      <c r="C362" s="155">
        <v>12</v>
      </c>
      <c r="D362" s="15" t="s">
        <v>36</v>
      </c>
      <c r="E362" s="42">
        <f>SUM(E$322:E333)/$C362</f>
        <v>18618.533147019403</v>
      </c>
      <c r="F362" s="42">
        <f>SUM(F$322:F333)/$C362</f>
        <v>16272.909616484738</v>
      </c>
      <c r="G362" s="42">
        <f>SUM(G$322:G333)/$C362</f>
        <v>32399.255206669317</v>
      </c>
      <c r="H362" s="42">
        <f>SUM(H$322:H333)/$C362</f>
        <v>1759.2040317707242</v>
      </c>
      <c r="J362" s="17">
        <f t="shared" si="53"/>
        <v>12</v>
      </c>
      <c r="K362" s="15" t="s">
        <v>36</v>
      </c>
      <c r="L362" s="42">
        <f>SUM(L$322:L333)/$C362</f>
        <v>21550.630640839132</v>
      </c>
      <c r="M362" s="42">
        <f>SUM(M$322:M333)/$C362</f>
        <v>23163.270646309695</v>
      </c>
      <c r="N362" s="42">
        <f>SUM(N$322:N333)/$C362</f>
        <v>63772.28990663201</v>
      </c>
      <c r="O362" s="42">
        <f>SUM(O$322:O333)/$C362</f>
        <v>1759.2040317707242</v>
      </c>
    </row>
    <row r="363" spans="3:15" x14ac:dyDescent="0.3">
      <c r="C363" s="155">
        <v>13</v>
      </c>
      <c r="D363" s="15" t="s">
        <v>36</v>
      </c>
      <c r="E363" s="42">
        <f>SUM(E$322:E334)/$C363</f>
        <v>18529.768134063183</v>
      </c>
      <c r="F363" s="42">
        <f>SUM(F$322:F334)/$C363</f>
        <v>16195.327509369394</v>
      </c>
      <c r="G363" s="42">
        <f>SUM(G$322:G334)/$C363</f>
        <v>32244.789745535378</v>
      </c>
      <c r="H363" s="42">
        <f>SUM(H$322:H334)/$C363</f>
        <v>1750.8169173058147</v>
      </c>
      <c r="J363" s="17">
        <f t="shared" si="53"/>
        <v>13</v>
      </c>
      <c r="K363" s="15" t="s">
        <v>36</v>
      </c>
      <c r="L363" s="42">
        <f>SUM(L$322:L334)/$C363</f>
        <v>21447.886671003085</v>
      </c>
      <c r="M363" s="42">
        <f>SUM(M$322:M334)/$C363</f>
        <v>23052.838315105488</v>
      </c>
      <c r="N363" s="42">
        <f>SUM(N$322:N334)/$C363</f>
        <v>63468.25155435632</v>
      </c>
      <c r="O363" s="42">
        <f>SUM(O$322:O334)/$C363</f>
        <v>1750.8169173058147</v>
      </c>
    </row>
    <row r="364" spans="3:15" x14ac:dyDescent="0.3">
      <c r="C364" s="155">
        <v>14</v>
      </c>
      <c r="D364" s="15" t="s">
        <v>36</v>
      </c>
      <c r="E364" s="42">
        <f>SUM(E$322:E335)/$C364</f>
        <v>18441.572472487263</v>
      </c>
      <c r="F364" s="42">
        <f>SUM(F$322:F335)/$C364</f>
        <v>16118.243024890511</v>
      </c>
      <c r="G364" s="42">
        <f>SUM(G$322:G335)/$C364</f>
        <v>32091.315047772914</v>
      </c>
      <c r="H364" s="42">
        <f>SUM(H$322:H335)/$C364</f>
        <v>1742.4835989824062</v>
      </c>
      <c r="J364" s="17">
        <f t="shared" si="53"/>
        <v>14</v>
      </c>
      <c r="K364" s="15" t="s">
        <v>36</v>
      </c>
      <c r="L364" s="42">
        <f>SUM(L$322:L335)/$C364</f>
        <v>21345.801715559031</v>
      </c>
      <c r="M364" s="42">
        <f>SUM(M$322:M335)/$C364</f>
        <v>22943.114312533329</v>
      </c>
      <c r="N364" s="42">
        <f>SUM(N$322:N335)/$C364</f>
        <v>63166.163347185873</v>
      </c>
      <c r="O364" s="42">
        <f>SUM(O$322:O335)/$C364</f>
        <v>1742.4835989824062</v>
      </c>
    </row>
    <row r="365" spans="3:15" x14ac:dyDescent="0.3">
      <c r="C365" s="155">
        <v>15</v>
      </c>
      <c r="D365" s="15" t="s">
        <v>36</v>
      </c>
      <c r="E365" s="42">
        <f>SUM(E$322:E336)/$C365</f>
        <v>18353.942039010137</v>
      </c>
      <c r="F365" s="42">
        <f>SUM(F$322:F336)/$C365</f>
        <v>16041.652559231034</v>
      </c>
      <c r="G365" s="42">
        <f>SUM(G$322:G336)/$C365</f>
        <v>31938.823938206053</v>
      </c>
      <c r="H365" s="42">
        <f>SUM(H$322:H336)/$C365</f>
        <v>1734.2036872051751</v>
      </c>
      <c r="J365" s="17">
        <f t="shared" si="53"/>
        <v>15</v>
      </c>
      <c r="K365" s="15" t="s">
        <v>36</v>
      </c>
      <c r="L365" s="42">
        <f>SUM(L$322:L336)/$C365</f>
        <v>21244.371001879823</v>
      </c>
      <c r="M365" s="42">
        <f>SUM(M$322:M336)/$C365</f>
        <v>22834.093508828988</v>
      </c>
      <c r="N365" s="42">
        <f>SUM(N$322:N336)/$C365</f>
        <v>62866.01116203687</v>
      </c>
      <c r="O365" s="42">
        <f>SUM(O$322:O336)/$C365</f>
        <v>1734.2036872051751</v>
      </c>
    </row>
    <row r="366" spans="3:15" x14ac:dyDescent="0.3">
      <c r="C366" s="155">
        <v>16</v>
      </c>
      <c r="D366" s="15" t="s">
        <v>36</v>
      </c>
      <c r="E366" s="42">
        <f>SUM(E$322:E337)/$C366</f>
        <v>18266.87274225993</v>
      </c>
      <c r="F366" s="42">
        <f>SUM(F$322:F337)/$C366</f>
        <v>15965.552536463458</v>
      </c>
      <c r="G366" s="42">
        <f>SUM(G$322:G337)/$C366</f>
        <v>31787.309297186825</v>
      </c>
      <c r="H366" s="42">
        <f>SUM(H$322:H337)/$C366</f>
        <v>1725.9767953938333</v>
      </c>
      <c r="J366" s="17">
        <f t="shared" si="53"/>
        <v>16</v>
      </c>
      <c r="K366" s="15" t="s">
        <v>36</v>
      </c>
      <c r="L366" s="42">
        <f>SUM(L$322:L337)/$C366</f>
        <v>21143.589794273157</v>
      </c>
      <c r="M366" s="42">
        <f>SUM(M$322:M337)/$C366</f>
        <v>22725.770813926902</v>
      </c>
      <c r="N366" s="42">
        <f>SUM(N$322:N337)/$C366</f>
        <v>62567.780985122539</v>
      </c>
      <c r="O366" s="42">
        <f>SUM(O$322:O337)/$C366</f>
        <v>1725.9767953938333</v>
      </c>
    </row>
    <row r="367" spans="3:15" x14ac:dyDescent="0.3">
      <c r="C367" s="155">
        <v>17</v>
      </c>
      <c r="D367" s="15" t="s">
        <v>36</v>
      </c>
      <c r="E367" s="42">
        <f>SUM(E$322:E338)/$C367</f>
        <v>18180.360522516879</v>
      </c>
      <c r="F367" s="42">
        <f>SUM(F$322:F338)/$C367</f>
        <v>15889.939408324764</v>
      </c>
      <c r="G367" s="42">
        <f>SUM(G$322:G338)/$C367</f>
        <v>31636.764060147074</v>
      </c>
      <c r="H367" s="42">
        <f>SUM(H$322:H338)/$C367</f>
        <v>1717.8025399587982</v>
      </c>
      <c r="J367" s="17">
        <f t="shared" si="53"/>
        <v>17</v>
      </c>
      <c r="K367" s="15" t="s">
        <v>36</v>
      </c>
      <c r="L367" s="42">
        <f>SUM(L$322:L338)/$C367</f>
        <v>21043.453393683511</v>
      </c>
      <c r="M367" s="42">
        <f>SUM(M$322:M338)/$C367</f>
        <v>22618.141177139856</v>
      </c>
      <c r="N367" s="42">
        <f>SUM(N$322:N338)/$C367</f>
        <v>62271.458911071124</v>
      </c>
      <c r="O367" s="42">
        <f>SUM(O$322:O338)/$C367</f>
        <v>1717.8025399587982</v>
      </c>
    </row>
    <row r="368" spans="3:15" x14ac:dyDescent="0.3">
      <c r="C368" s="155">
        <v>18</v>
      </c>
      <c r="D368" s="15" t="s">
        <v>36</v>
      </c>
      <c r="E368" s="42">
        <f>SUM(E$322:E339)/$C368</f>
        <v>18094.401351457996</v>
      </c>
      <c r="F368" s="42">
        <f>SUM(F$322:F339)/$C368</f>
        <v>15814.809653993227</v>
      </c>
      <c r="G368" s="42">
        <f>SUM(G$322:G339)/$C368</f>
        <v>31487.181217154073</v>
      </c>
      <c r="H368" s="42">
        <f>SUM(H$322:H339)/$C368</f>
        <v>1709.6805402770633</v>
      </c>
      <c r="J368" s="17">
        <f t="shared" si="53"/>
        <v>18</v>
      </c>
      <c r="K368" s="15" t="s">
        <v>36</v>
      </c>
      <c r="L368" s="42">
        <f>SUM(L$322:L339)/$C368</f>
        <v>20943.957137396574</v>
      </c>
      <c r="M368" s="42">
        <f>SUM(M$322:M339)/$C368</f>
        <v>22511.199586841263</v>
      </c>
      <c r="N368" s="42">
        <f>SUM(N$322:N339)/$C368</f>
        <v>61977.031142051164</v>
      </c>
      <c r="O368" s="42">
        <f>SUM(O$322:O339)/$C368</f>
        <v>1709.6805402770633</v>
      </c>
    </row>
    <row r="369" spans="3:15" x14ac:dyDescent="0.3">
      <c r="C369" s="155">
        <v>19</v>
      </c>
      <c r="D369" s="15" t="s">
        <v>36</v>
      </c>
      <c r="E369" s="42">
        <f>SUM(E$322:E340)/$C369</f>
        <v>18008.991231903798</v>
      </c>
      <c r="F369" s="42">
        <f>SUM(F$322:F340)/$C369</f>
        <v>15740.159779867075</v>
      </c>
      <c r="G369" s="42">
        <f>SUM(G$322:G340)/$C369</f>
        <v>31338.553812469858</v>
      </c>
      <c r="H369" s="42">
        <f>SUM(H$322:H340)/$C369</f>
        <v>1701.6104186682719</v>
      </c>
      <c r="J369" s="17">
        <f t="shared" si="53"/>
        <v>19</v>
      </c>
      <c r="K369" s="15" t="s">
        <v>36</v>
      </c>
      <c r="L369" s="42">
        <f>SUM(L$322:L340)/$C369</f>
        <v>20845.096398746111</v>
      </c>
      <c r="M369" s="42">
        <f>SUM(M$322:M340)/$C369</f>
        <v>22404.941070150096</v>
      </c>
      <c r="N369" s="42">
        <f>SUM(N$322:N340)/$C369</f>
        <v>61684.483986904183</v>
      </c>
      <c r="O369" s="42">
        <f>SUM(O$322:O340)/$C369</f>
        <v>1701.6104186682719</v>
      </c>
    </row>
    <row r="370" spans="3:15" x14ac:dyDescent="0.3">
      <c r="C370" s="155">
        <v>20</v>
      </c>
      <c r="D370" s="15" t="s">
        <v>36</v>
      </c>
      <c r="E370" s="42">
        <f>SUM(E$322:E341)/$C370</f>
        <v>17924.126197567191</v>
      </c>
      <c r="F370" s="42">
        <f>SUM(F$322:F341)/$C370</f>
        <v>15665.986319344995</v>
      </c>
      <c r="G370" s="42">
        <f>SUM(G$322:G341)/$C370</f>
        <v>31190.874944114177</v>
      </c>
      <c r="H370" s="42">
        <f>SUM(H$322:H341)/$C370</f>
        <v>1693.5918003709855</v>
      </c>
      <c r="J370" s="17">
        <f t="shared" si="53"/>
        <v>20</v>
      </c>
      <c r="K370" s="15" t="s">
        <v>36</v>
      </c>
      <c r="L370" s="42">
        <f>SUM(L$322:L341)/$C370</f>
        <v>20746.8665868233</v>
      </c>
      <c r="M370" s="42">
        <f>SUM(M$322:M341)/$C370</f>
        <v>22299.36069261848</v>
      </c>
      <c r="N370" s="42">
        <f>SUM(N$322:N341)/$C370</f>
        <v>61393.803860284388</v>
      </c>
      <c r="O370" s="42">
        <f>SUM(O$322:O341)/$C370</f>
        <v>1693.5918003709855</v>
      </c>
    </row>
    <row r="371" spans="3:15" x14ac:dyDescent="0.3">
      <c r="C371" s="155">
        <v>21</v>
      </c>
      <c r="D371" s="15" t="s">
        <v>36</v>
      </c>
      <c r="E371" s="42">
        <f>SUM(E$322:E342)/$C371</f>
        <v>17839.802312804404</v>
      </c>
      <c r="F371" s="42">
        <f>SUM(F$322:F342)/$C371</f>
        <v>15592.285832608453</v>
      </c>
      <c r="G371" s="42">
        <f>SUM(G$322:G342)/$C371</f>
        <v>31044.137763431139</v>
      </c>
      <c r="H371" s="42">
        <f>SUM(H$322:H342)/$C371</f>
        <v>1685.6243135191539</v>
      </c>
      <c r="J371" s="17">
        <f t="shared" si="53"/>
        <v>21</v>
      </c>
      <c r="K371" s="15" t="s">
        <v>36</v>
      </c>
      <c r="L371" s="42">
        <f>SUM(L$322:L342)/$C371</f>
        <v>20649.263146188427</v>
      </c>
      <c r="M371" s="42">
        <f>SUM(M$322:M342)/$C371</f>
        <v>22194.453557921817</v>
      </c>
      <c r="N371" s="42">
        <f>SUM(N$322:N342)/$C371</f>
        <v>61104.977281805681</v>
      </c>
      <c r="O371" s="42">
        <f>SUM(O$322:O342)/$C371</f>
        <v>1685.6243135191539</v>
      </c>
    </row>
    <row r="372" spans="3:15" x14ac:dyDescent="0.3">
      <c r="C372" s="155">
        <v>22</v>
      </c>
      <c r="D372" s="15" t="s">
        <v>36</v>
      </c>
      <c r="E372" s="42">
        <f>SUM(E$322:E343)/$C372</f>
        <v>17756.015672367997</v>
      </c>
      <c r="F372" s="42">
        <f>SUM(F$322:F343)/$C372</f>
        <v>15519.054906405829</v>
      </c>
      <c r="G372" s="42">
        <f>SUM(G$322:G343)/$C372</f>
        <v>30898.335474659372</v>
      </c>
      <c r="H372" s="42">
        <f>SUM(H$322:H343)/$C372</f>
        <v>1677.7075891187765</v>
      </c>
      <c r="J372" s="17">
        <f t="shared" si="53"/>
        <v>22</v>
      </c>
      <c r="K372" s="15" t="s">
        <v>36</v>
      </c>
      <c r="L372" s="42">
        <f>SUM(L$322:L343)/$C372</f>
        <v>20552.281556585014</v>
      </c>
      <c r="M372" s="42">
        <f>SUM(M$322:M343)/$C372</f>
        <v>22090.214807551507</v>
      </c>
      <c r="N372" s="42">
        <f>SUM(N$322:N343)/$C372</f>
        <v>60817.990875195639</v>
      </c>
      <c r="O372" s="42">
        <f>SUM(O$322:O343)/$C372</f>
        <v>1677.7075891187765</v>
      </c>
    </row>
    <row r="373" spans="3:15" x14ac:dyDescent="0.3">
      <c r="C373" s="155">
        <v>23</v>
      </c>
      <c r="D373" s="15" t="s">
        <v>36</v>
      </c>
      <c r="E373" s="42">
        <f>SUM(E$322:E344)/$C373</f>
        <v>17672.762401161941</v>
      </c>
      <c r="F373" s="42">
        <f>SUM(F$322:F344)/$C373</f>
        <v>15446.290153838319</v>
      </c>
      <c r="G373" s="42">
        <f>SUM(G$322:G344)/$C373</f>
        <v>30753.461334505806</v>
      </c>
      <c r="H373" s="42">
        <f>SUM(H$322:H344)/$C373</f>
        <v>1669.841261024759</v>
      </c>
      <c r="J373" s="17">
        <f t="shared" si="53"/>
        <v>23</v>
      </c>
      <c r="K373" s="15" t="s">
        <v>36</v>
      </c>
      <c r="L373" s="42">
        <f>SUM(L$322:L344)/$C373</f>
        <v>20455.917332656314</v>
      </c>
      <c r="M373" s="42">
        <f>SUM(M$322:M344)/$C373</f>
        <v>21986.639620510243</v>
      </c>
      <c r="N373" s="42">
        <f>SUM(N$322:N344)/$C373</f>
        <v>60532.831367456543</v>
      </c>
      <c r="O373" s="42">
        <f>SUM(O$322:O344)/$C373</f>
        <v>1669.841261024759</v>
      </c>
    </row>
    <row r="374" spans="3:15" x14ac:dyDescent="0.3">
      <c r="C374" s="155">
        <v>24</v>
      </c>
      <c r="D374" s="15" t="s">
        <v>36</v>
      </c>
      <c r="E374" s="42">
        <f>SUM(E$322:E345)/$C374</f>
        <v>17590.03865399869</v>
      </c>
      <c r="F374" s="42">
        <f>SUM(F$322:F345)/$C374</f>
        <v>15373.988214147654</v>
      </c>
      <c r="G374" s="42">
        <f>SUM(G$322:G345)/$C374</f>
        <v>30609.508651722997</v>
      </c>
      <c r="H374" s="42">
        <f>SUM(H$322:H345)/$C374</f>
        <v>1662.0249659179628</v>
      </c>
      <c r="J374" s="17">
        <f t="shared" si="53"/>
        <v>24</v>
      </c>
      <c r="K374" s="15" t="s">
        <v>36</v>
      </c>
      <c r="L374" s="42">
        <f>SUM(L$322:L345)/$C374</f>
        <v>20360.166023664136</v>
      </c>
      <c r="M374" s="42">
        <f>SUM(M$322:M345)/$C374</f>
        <v>21883.723213009798</v>
      </c>
      <c r="N374" s="42">
        <f>SUM(N$322:N345)/$C374</f>
        <v>60249.485588033414</v>
      </c>
      <c r="O374" s="42">
        <f>SUM(O$322:O345)/$C374</f>
        <v>1662.0249659179628</v>
      </c>
    </row>
    <row r="375" spans="3:15" x14ac:dyDescent="0.3">
      <c r="C375" s="155">
        <v>25</v>
      </c>
      <c r="D375" s="15" t="s">
        <v>36</v>
      </c>
      <c r="E375" s="42">
        <f>SUM(E$322:E346)/$C375</f>
        <v>17507.840615358309</v>
      </c>
      <c r="F375" s="42">
        <f>SUM(F$322:F346)/$C375</f>
        <v>15302.145752505534</v>
      </c>
      <c r="G375" s="42">
        <f>SUM(G$322:G346)/$C375</f>
        <v>30466.470786689915</v>
      </c>
      <c r="H375" s="42">
        <f>SUM(H$322:H346)/$C375</f>
        <v>1654.2583432824438</v>
      </c>
      <c r="J375" s="17">
        <f t="shared" si="53"/>
        <v>25</v>
      </c>
      <c r="K375" s="15" t="s">
        <v>36</v>
      </c>
      <c r="L375" s="42">
        <f>SUM(L$322:L346)/$C375</f>
        <v>20265.023213210035</v>
      </c>
      <c r="M375" s="42">
        <f>SUM(M$322:M346)/$C375</f>
        <v>21781.460838171326</v>
      </c>
      <c r="N375" s="42">
        <f>SUM(N$322:N346)/$C375</f>
        <v>59967.940467988868</v>
      </c>
      <c r="O375" s="42">
        <f>SUM(O$322:O346)/$C375</f>
        <v>1654.2583432824438</v>
      </c>
    </row>
  </sheetData>
  <mergeCells count="10">
    <mergeCell ref="E107:F107"/>
    <mergeCell ref="G107:H107"/>
    <mergeCell ref="E122:F122"/>
    <mergeCell ref="G122:H122"/>
    <mergeCell ref="E12:F12"/>
    <mergeCell ref="G12:H12"/>
    <mergeCell ref="E28:F28"/>
    <mergeCell ref="G28:H28"/>
    <mergeCell ref="E73:F73"/>
    <mergeCell ref="G73:H73"/>
  </mergeCells>
  <phoneticPr fontId="21" type="noConversion"/>
  <hyperlinks>
    <hyperlink ref="N31" r:id="rId1" location="bm " xr:uid="{1B5D085C-E66E-43D7-9063-86DCD876BDB1}"/>
    <hyperlink ref="J173" r:id="rId2" xr:uid="{59624487-D9DE-4EF4-8A64-41E3738F66AA}"/>
    <hyperlink ref="M77" r:id="rId3" xr:uid="{011F6FE3-23AF-4E83-9B44-CF04D9A33300}"/>
    <hyperlink ref="M81" r:id="rId4" xr:uid="{B56E7A5E-C888-4DF9-A9A8-29BD9C07B970}"/>
    <hyperlink ref="K78" r:id="rId5" xr:uid="{5C664748-CA34-4AFA-B811-B8D9A230CED4}"/>
    <hyperlink ref="K83" r:id="rId6" xr:uid="{26B55CBF-A2A0-4269-B2A4-1653EB5B0435}"/>
    <hyperlink ref="J126" r:id="rId7" location="/tarif/3524" xr:uid="{F1EB0B8E-BD99-4BDB-B20A-F0F67911AC7A}"/>
    <hyperlink ref="J127" r:id="rId8" location="/tarif/3525" xr:uid="{F811955D-F80E-45FD-910A-3AAA68B7AB23}"/>
    <hyperlink ref="J125" r:id="rId9" location="/tarif/3996" xr:uid="{47FF71DA-9D1C-4059-BF35-F6A75EA290F0}"/>
    <hyperlink ref="J128" r:id="rId10" location="/tarif/3996" xr:uid="{6CB9E9EC-D965-443A-8744-AF5D1F818FD6}"/>
    <hyperlink ref="N125" r:id="rId11" xr:uid="{468101E8-8F7E-4B11-B4A6-74BB4319AEBC}"/>
    <hyperlink ref="J131" r:id="rId12" xr:uid="{201E1BB2-00CB-4271-9D73-498203FA6A7A}"/>
    <hyperlink ref="J135" r:id="rId13" xr:uid="{91B81A91-836A-4C40-B614-7F928468D8CE}"/>
    <hyperlink ref="J140" r:id="rId14" location=", plz 3100" xr:uid="{4ED3DB48-FD6A-46CC-A7B1-725E60A86028}"/>
    <hyperlink ref="K86" r:id="rId15" xr:uid="{D6B4D497-4A5F-4DD1-8AD8-C0A333C1DB3C}"/>
    <hyperlink ref="C230" r:id="rId16" xr:uid="{7DFA7354-C653-4AE6-9F9C-14D9C819A225}"/>
    <hyperlink ref="K275" r:id="rId17" xr:uid="{A39B1C75-9350-45D3-B148-EE7BFA4EFA43}"/>
    <hyperlink ref="K277" r:id="rId18" xr:uid="{9B589207-37D4-43C4-A4B5-B92031896DE3}"/>
    <hyperlink ref="K278" r:id="rId19" xr:uid="{B7AF0212-C9C7-42CC-8493-6A5DFFC99587}"/>
    <hyperlink ref="K280" r:id="rId20" xr:uid="{BDBB0A53-7EB5-4D00-940D-CD0EF4CB56EB}"/>
    <hyperlink ref="C284" r:id="rId21" xr:uid="{1A4C2070-F14D-40CD-950E-CDBC1DE46048}"/>
    <hyperlink ref="D271" r:id="rId22" xr:uid="{9F813D3D-3A02-499C-B891-0C43AF51A029}"/>
    <hyperlink ref="O241" r:id="rId23" xr:uid="{656EEFA7-0F55-4432-9ED7-EFEA6E2280CA}"/>
  </hyperlinks>
  <pageMargins left="0.7" right="0.7" top="0.75" bottom="0.75" header="0.3" footer="0.3"/>
  <drawing r:id="rId24"/>
  <legacyDrawing r:id="rId2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F5753-EBD0-4003-B113-299D438B5B35}">
  <dimension ref="A1:AK165"/>
  <sheetViews>
    <sheetView zoomScaleNormal="100" workbookViewId="0"/>
  </sheetViews>
  <sheetFormatPr baseColWidth="10" defaultColWidth="9.140625" defaultRowHeight="11.45" customHeight="1" x14ac:dyDescent="0.25"/>
  <cols>
    <col min="1" max="1" width="27.85546875" style="175" customWidth="1"/>
    <col min="2" max="2" width="29.85546875" style="175" customWidth="1"/>
    <col min="3" max="3" width="29.140625" style="175" customWidth="1"/>
    <col min="4" max="8" width="10.85546875" style="175" customWidth="1"/>
    <col min="9" max="10" width="9.140625" style="175"/>
    <col min="11" max="11" width="32.140625" style="175" customWidth="1"/>
    <col min="12" max="16" width="11.7109375" style="175" customWidth="1"/>
    <col min="17" max="17" width="9.140625" style="175"/>
    <col min="18" max="18" width="32.85546875" style="175" bestFit="1" customWidth="1"/>
    <col min="19" max="24" width="9.140625" style="175"/>
    <col min="25" max="25" width="32.85546875" style="175" bestFit="1" customWidth="1"/>
    <col min="26" max="26" width="10" style="175" bestFit="1" customWidth="1"/>
    <col min="27" max="31" width="9.140625" style="175"/>
    <col min="32" max="32" width="32.85546875" style="175" bestFit="1" customWidth="1"/>
    <col min="33" max="16384" width="9.140625" style="175"/>
  </cols>
  <sheetData>
    <row r="1" spans="1:37" ht="15" x14ac:dyDescent="0.25">
      <c r="A1" s="174" t="s">
        <v>364</v>
      </c>
    </row>
    <row r="2" spans="1:37" ht="15" x14ac:dyDescent="0.25">
      <c r="A2" s="174" t="s">
        <v>365</v>
      </c>
      <c r="B2" s="176" t="s">
        <v>366</v>
      </c>
    </row>
    <row r="3" spans="1:37" ht="15" x14ac:dyDescent="0.25">
      <c r="A3" s="174" t="s">
        <v>367</v>
      </c>
      <c r="B3" s="174" t="s">
        <v>368</v>
      </c>
    </row>
    <row r="4" spans="1:37" ht="15" x14ac:dyDescent="0.25"/>
    <row r="5" spans="1:37" ht="15" x14ac:dyDescent="0.25">
      <c r="A5" s="176" t="s">
        <v>369</v>
      </c>
      <c r="D5" s="174" t="s">
        <v>370</v>
      </c>
    </row>
    <row r="6" spans="1:37" ht="15" x14ac:dyDescent="0.25">
      <c r="A6" s="176" t="s">
        <v>371</v>
      </c>
      <c r="D6" s="174" t="s">
        <v>372</v>
      </c>
    </row>
    <row r="7" spans="1:37" ht="15" x14ac:dyDescent="0.25">
      <c r="A7" s="176" t="s">
        <v>373</v>
      </c>
      <c r="D7" s="174" t="s">
        <v>374</v>
      </c>
      <c r="K7" s="177" t="s">
        <v>375</v>
      </c>
      <c r="Y7" s="177" t="s">
        <v>376</v>
      </c>
    </row>
    <row r="8" spans="1:37" ht="15" x14ac:dyDescent="0.25"/>
    <row r="9" spans="1:37" ht="15" x14ac:dyDescent="0.25">
      <c r="A9" s="178" t="s">
        <v>377</v>
      </c>
      <c r="B9" s="178" t="s">
        <v>377</v>
      </c>
      <c r="C9" s="179" t="s">
        <v>28</v>
      </c>
      <c r="D9" s="180" t="s">
        <v>135</v>
      </c>
      <c r="E9" s="180" t="s">
        <v>136</v>
      </c>
      <c r="F9" s="180" t="s">
        <v>137</v>
      </c>
      <c r="G9" s="180" t="s">
        <v>138</v>
      </c>
      <c r="H9" s="180" t="s">
        <v>139</v>
      </c>
      <c r="K9" s="177" t="s">
        <v>378</v>
      </c>
      <c r="R9" s="177" t="s">
        <v>378</v>
      </c>
      <c r="Y9" s="177" t="s">
        <v>378</v>
      </c>
      <c r="AF9" s="177" t="s">
        <v>378</v>
      </c>
    </row>
    <row r="10" spans="1:37" ht="15" x14ac:dyDescent="0.25">
      <c r="A10" s="181" t="s">
        <v>379</v>
      </c>
      <c r="B10" s="181" t="s">
        <v>380</v>
      </c>
      <c r="C10" s="182"/>
      <c r="D10" s="182" t="s">
        <v>381</v>
      </c>
      <c r="E10" s="182" t="s">
        <v>381</v>
      </c>
      <c r="F10" s="182" t="s">
        <v>381</v>
      </c>
      <c r="G10" s="182" t="s">
        <v>381</v>
      </c>
      <c r="H10" s="182" t="s">
        <v>381</v>
      </c>
      <c r="K10" s="175" t="s">
        <v>382</v>
      </c>
      <c r="L10" s="175" t="s">
        <v>135</v>
      </c>
      <c r="M10" s="175" t="s">
        <v>136</v>
      </c>
      <c r="N10" s="175" t="s">
        <v>137</v>
      </c>
      <c r="O10" s="175" t="s">
        <v>138</v>
      </c>
      <c r="P10" s="175" t="s">
        <v>139</v>
      </c>
      <c r="R10" s="175" t="s">
        <v>383</v>
      </c>
      <c r="S10" s="175" t="s">
        <v>135</v>
      </c>
      <c r="T10" s="175" t="s">
        <v>136</v>
      </c>
      <c r="U10" s="175" t="s">
        <v>137</v>
      </c>
      <c r="V10" s="175" t="s">
        <v>138</v>
      </c>
      <c r="W10" s="175" t="s">
        <v>139</v>
      </c>
      <c r="Y10" s="175" t="s">
        <v>382</v>
      </c>
      <c r="Z10" s="175" t="s">
        <v>135</v>
      </c>
      <c r="AA10" s="175" t="s">
        <v>136</v>
      </c>
      <c r="AB10" s="175" t="s">
        <v>137</v>
      </c>
      <c r="AC10" s="175" t="s">
        <v>138</v>
      </c>
      <c r="AD10" s="175" t="s">
        <v>139</v>
      </c>
      <c r="AF10" s="175" t="s">
        <v>383</v>
      </c>
      <c r="AG10" s="175" t="s">
        <v>135</v>
      </c>
      <c r="AH10" s="175" t="s">
        <v>136</v>
      </c>
      <c r="AI10" s="175" t="s">
        <v>137</v>
      </c>
      <c r="AJ10" s="175" t="s">
        <v>138</v>
      </c>
      <c r="AK10" s="175" t="s">
        <v>139</v>
      </c>
    </row>
    <row r="11" spans="1:37" ht="15" x14ac:dyDescent="0.25">
      <c r="A11" s="183" t="s">
        <v>378</v>
      </c>
      <c r="B11" s="284" t="s">
        <v>54</v>
      </c>
      <c r="C11" s="184" t="s">
        <v>54</v>
      </c>
      <c r="D11" s="185">
        <v>1850432.4</v>
      </c>
      <c r="E11" s="185">
        <v>29130.84</v>
      </c>
      <c r="F11" s="185">
        <v>296664.23499999999</v>
      </c>
      <c r="G11" s="185">
        <v>183922.00599999999</v>
      </c>
      <c r="H11" s="185">
        <v>61173.68</v>
      </c>
      <c r="K11" s="175" t="s">
        <v>44</v>
      </c>
      <c r="L11" s="186">
        <f t="shared" ref="L11:P29" si="0">SUMIFS(D:D,$A:$A,$K$9,$C:$C,$K11)</f>
        <v>183902.4</v>
      </c>
      <c r="M11" s="186">
        <f t="shared" si="0"/>
        <v>3524.76</v>
      </c>
      <c r="N11" s="186">
        <f t="shared" si="0"/>
        <v>16815.37</v>
      </c>
      <c r="O11" s="186">
        <f t="shared" si="0"/>
        <v>13506.241999999998</v>
      </c>
      <c r="P11" s="186">
        <f t="shared" si="0"/>
        <v>933.89800000000014</v>
      </c>
      <c r="R11" s="175" t="s">
        <v>44</v>
      </c>
      <c r="S11" s="187">
        <f t="shared" ref="S11:S29" si="1">L11/L$29</f>
        <v>9.9383473830224764E-2</v>
      </c>
      <c r="T11" s="187">
        <f t="shared" ref="T11:T29" si="2">M11/M$29</f>
        <v>0.12099754075062717</v>
      </c>
      <c r="U11" s="187">
        <f t="shared" ref="U11:U29" si="3">N11/N$29</f>
        <v>5.6681487069042885E-2</v>
      </c>
      <c r="V11" s="187">
        <f t="shared" ref="V11:V29" si="4">O11/O$29</f>
        <v>7.3434616627659002E-2</v>
      </c>
      <c r="W11" s="187">
        <f t="shared" ref="W11:W29" si="5">P11/P$29</f>
        <v>1.5266336764438565E-2</v>
      </c>
      <c r="Y11" s="175" t="s">
        <v>44</v>
      </c>
      <c r="Z11" s="186">
        <f t="shared" ref="Z11:Z21" si="6">SUMIFS(D:D,$A:$A,$K$9,$C:$C,$K11)</f>
        <v>183902.4</v>
      </c>
      <c r="AA11" s="186">
        <f t="shared" ref="AA11:AA21" si="7">SUMIFS(E:E,$A:$A,$K$9,$C:$C,$K11)</f>
        <v>3524.76</v>
      </c>
      <c r="AB11" s="186">
        <f t="shared" ref="AB11:AB21" si="8">SUMIFS(F:F,$A:$A,$K$9,$C:$C,$K11)</f>
        <v>16815.37</v>
      </c>
      <c r="AC11" s="186">
        <f t="shared" ref="AC11:AC21" si="9">SUMIFS(G:G,$A:$A,$K$9,$C:$C,$K11)</f>
        <v>13506.241999999998</v>
      </c>
      <c r="AD11" s="186">
        <f t="shared" ref="AD11:AD21" si="10">SUMIFS(H:H,$A:$A,$K$9,$C:$C,$K11)</f>
        <v>933.89800000000014</v>
      </c>
      <c r="AF11" s="175" t="s">
        <v>44</v>
      </c>
      <c r="AG11" s="187">
        <f t="shared" ref="AG11:AG22" si="11">Z11/Z$22</f>
        <v>0.10154270005307317</v>
      </c>
      <c r="AH11" s="187">
        <f t="shared" ref="AH11:AH22" si="12">AA11/AA$22</f>
        <v>0.12237373295504257</v>
      </c>
      <c r="AI11" s="187">
        <f t="shared" ref="AI11:AI22" si="13">AB11/AB$22</f>
        <v>5.8051540216743969E-2</v>
      </c>
      <c r="AJ11" s="187">
        <f t="shared" ref="AJ11:AJ22" si="14">AC11/AC$22</f>
        <v>7.3725975764174237E-2</v>
      </c>
      <c r="AK11" s="187">
        <f t="shared" ref="AK11:AK22" si="15">AD11/AD$22</f>
        <v>1.5270398640831869E-2</v>
      </c>
    </row>
    <row r="12" spans="1:37" ht="15" x14ac:dyDescent="0.25">
      <c r="A12" s="183" t="s">
        <v>378</v>
      </c>
      <c r="B12" s="285" t="s">
        <v>384</v>
      </c>
      <c r="C12" s="184" t="s">
        <v>385</v>
      </c>
      <c r="D12" s="188">
        <v>382798.8</v>
      </c>
      <c r="E12" s="188">
        <v>0</v>
      </c>
      <c r="F12" s="188">
        <v>85.132999999999996</v>
      </c>
      <c r="G12" s="188">
        <v>0</v>
      </c>
      <c r="H12" s="188">
        <v>12593.009</v>
      </c>
      <c r="K12" s="175" t="s">
        <v>46</v>
      </c>
      <c r="L12" s="186">
        <f t="shared" si="0"/>
        <v>0</v>
      </c>
      <c r="M12" s="186">
        <f t="shared" si="0"/>
        <v>0</v>
      </c>
      <c r="N12" s="186">
        <f t="shared" si="0"/>
        <v>0</v>
      </c>
      <c r="O12" s="186">
        <f t="shared" si="0"/>
        <v>0</v>
      </c>
      <c r="P12" s="186">
        <f t="shared" si="0"/>
        <v>0</v>
      </c>
      <c r="R12" s="175" t="s">
        <v>46</v>
      </c>
      <c r="S12" s="187">
        <f t="shared" si="1"/>
        <v>0</v>
      </c>
      <c r="T12" s="187">
        <f t="shared" si="2"/>
        <v>0</v>
      </c>
      <c r="U12" s="187">
        <f t="shared" si="3"/>
        <v>0</v>
      </c>
      <c r="V12" s="187">
        <f t="shared" si="4"/>
        <v>0</v>
      </c>
      <c r="W12" s="187">
        <f t="shared" si="5"/>
        <v>0</v>
      </c>
      <c r="Y12" s="175" t="s">
        <v>46</v>
      </c>
      <c r="Z12" s="186">
        <f t="shared" si="6"/>
        <v>0</v>
      </c>
      <c r="AA12" s="186">
        <f t="shared" si="7"/>
        <v>0</v>
      </c>
      <c r="AB12" s="186">
        <f t="shared" si="8"/>
        <v>0</v>
      </c>
      <c r="AC12" s="186">
        <f t="shared" si="9"/>
        <v>0</v>
      </c>
      <c r="AD12" s="186">
        <f t="shared" si="10"/>
        <v>0</v>
      </c>
      <c r="AF12" s="175" t="s">
        <v>46</v>
      </c>
      <c r="AG12" s="187">
        <f t="shared" si="11"/>
        <v>0</v>
      </c>
      <c r="AH12" s="187">
        <f t="shared" si="12"/>
        <v>0</v>
      </c>
      <c r="AI12" s="187">
        <f t="shared" si="13"/>
        <v>0</v>
      </c>
      <c r="AJ12" s="187">
        <f t="shared" si="14"/>
        <v>0</v>
      </c>
      <c r="AK12" s="187">
        <f t="shared" si="15"/>
        <v>0</v>
      </c>
    </row>
    <row r="13" spans="1:37" ht="15" x14ac:dyDescent="0.25">
      <c r="A13" s="183" t="s">
        <v>378</v>
      </c>
      <c r="B13" s="286" t="s">
        <v>386</v>
      </c>
      <c r="C13" s="189" t="s">
        <v>47</v>
      </c>
      <c r="D13" s="185">
        <v>824.4</v>
      </c>
      <c r="E13" s="185">
        <v>0</v>
      </c>
      <c r="F13" s="185">
        <v>0</v>
      </c>
      <c r="G13" s="185">
        <v>0</v>
      </c>
      <c r="H13" s="185">
        <v>0</v>
      </c>
      <c r="K13" s="175" t="s">
        <v>45</v>
      </c>
      <c r="L13" s="186">
        <f t="shared" si="0"/>
        <v>0</v>
      </c>
      <c r="M13" s="186">
        <f t="shared" si="0"/>
        <v>0</v>
      </c>
      <c r="N13" s="186">
        <f t="shared" si="0"/>
        <v>0</v>
      </c>
      <c r="O13" s="186">
        <f t="shared" si="0"/>
        <v>0</v>
      </c>
      <c r="P13" s="186">
        <f t="shared" si="0"/>
        <v>21008.61</v>
      </c>
      <c r="R13" s="175" t="s">
        <v>45</v>
      </c>
      <c r="S13" s="187">
        <f t="shared" si="1"/>
        <v>0</v>
      </c>
      <c r="T13" s="187">
        <f t="shared" si="2"/>
        <v>0</v>
      </c>
      <c r="U13" s="187">
        <f t="shared" si="3"/>
        <v>0</v>
      </c>
      <c r="V13" s="187">
        <f t="shared" si="4"/>
        <v>0</v>
      </c>
      <c r="W13" s="187">
        <f t="shared" si="5"/>
        <v>0.34342563664634856</v>
      </c>
      <c r="Y13" s="175" t="s">
        <v>45</v>
      </c>
      <c r="Z13" s="186">
        <f t="shared" si="6"/>
        <v>0</v>
      </c>
      <c r="AA13" s="186">
        <f t="shared" si="7"/>
        <v>0</v>
      </c>
      <c r="AB13" s="186">
        <f t="shared" si="8"/>
        <v>0</v>
      </c>
      <c r="AC13" s="186">
        <f t="shared" si="9"/>
        <v>0</v>
      </c>
      <c r="AD13" s="186">
        <f t="shared" si="10"/>
        <v>21008.61</v>
      </c>
      <c r="AF13" s="175" t="s">
        <v>45</v>
      </c>
      <c r="AG13" s="187">
        <f t="shared" si="11"/>
        <v>0</v>
      </c>
      <c r="AH13" s="187">
        <f t="shared" si="12"/>
        <v>0</v>
      </c>
      <c r="AI13" s="187">
        <f t="shared" si="13"/>
        <v>0</v>
      </c>
      <c r="AJ13" s="187">
        <f t="shared" si="14"/>
        <v>0</v>
      </c>
      <c r="AK13" s="187">
        <f t="shared" si="15"/>
        <v>0.34351701105449073</v>
      </c>
    </row>
    <row r="14" spans="1:37" ht="15" x14ac:dyDescent="0.25">
      <c r="A14" s="183" t="s">
        <v>378</v>
      </c>
      <c r="B14" s="286" t="s">
        <v>387</v>
      </c>
      <c r="C14" s="189" t="s">
        <v>47</v>
      </c>
      <c r="D14" s="188">
        <v>3823.2</v>
      </c>
      <c r="E14" s="188">
        <v>0</v>
      </c>
      <c r="F14" s="188">
        <v>0</v>
      </c>
      <c r="G14" s="188">
        <v>0</v>
      </c>
      <c r="H14" s="188">
        <v>0</v>
      </c>
      <c r="K14" s="175" t="s">
        <v>47</v>
      </c>
      <c r="L14" s="186">
        <f t="shared" si="0"/>
        <v>98823.6</v>
      </c>
      <c r="M14" s="186">
        <f t="shared" si="0"/>
        <v>0</v>
      </c>
      <c r="N14" s="186">
        <f t="shared" si="0"/>
        <v>85.132999999999996</v>
      </c>
      <c r="O14" s="186">
        <f t="shared" si="0"/>
        <v>0</v>
      </c>
      <c r="P14" s="186">
        <f t="shared" si="0"/>
        <v>2.5000000000000001E-2</v>
      </c>
      <c r="R14" s="175" t="s">
        <v>47</v>
      </c>
      <c r="S14" s="187">
        <f t="shared" si="1"/>
        <v>5.3405679667087549E-2</v>
      </c>
      <c r="T14" s="187">
        <f t="shared" si="2"/>
        <v>0</v>
      </c>
      <c r="U14" s="187">
        <f t="shared" si="3"/>
        <v>2.869675207056894E-4</v>
      </c>
      <c r="V14" s="187">
        <f t="shared" si="4"/>
        <v>0</v>
      </c>
      <c r="W14" s="187">
        <f t="shared" si="5"/>
        <v>4.0867248790656373E-7</v>
      </c>
      <c r="Y14" s="175" t="s">
        <v>47</v>
      </c>
      <c r="Z14" s="186">
        <f t="shared" si="6"/>
        <v>98823.6</v>
      </c>
      <c r="AA14" s="186">
        <f t="shared" si="7"/>
        <v>0</v>
      </c>
      <c r="AB14" s="186">
        <f t="shared" si="8"/>
        <v>85.132999999999996</v>
      </c>
      <c r="AC14" s="186">
        <f t="shared" si="9"/>
        <v>0</v>
      </c>
      <c r="AD14" s="186">
        <f t="shared" si="10"/>
        <v>2.5000000000000001E-2</v>
      </c>
      <c r="AF14" s="175" t="s">
        <v>47</v>
      </c>
      <c r="AG14" s="187">
        <f t="shared" si="11"/>
        <v>5.456598267866479E-2</v>
      </c>
      <c r="AH14" s="187">
        <f t="shared" si="12"/>
        <v>0</v>
      </c>
      <c r="AI14" s="187">
        <f t="shared" si="13"/>
        <v>2.9390383757669705E-4</v>
      </c>
      <c r="AJ14" s="187">
        <f t="shared" si="14"/>
        <v>0</v>
      </c>
      <c r="AK14" s="187">
        <f t="shared" si="15"/>
        <v>4.087812223827406E-7</v>
      </c>
    </row>
    <row r="15" spans="1:37" ht="15" x14ac:dyDescent="0.25">
      <c r="A15" s="183" t="s">
        <v>378</v>
      </c>
      <c r="B15" s="286" t="s">
        <v>388</v>
      </c>
      <c r="C15" s="184" t="s">
        <v>47</v>
      </c>
      <c r="D15" s="185">
        <v>94158</v>
      </c>
      <c r="E15" s="185">
        <v>0</v>
      </c>
      <c r="F15" s="185">
        <v>85.132999999999996</v>
      </c>
      <c r="G15" s="185">
        <v>0</v>
      </c>
      <c r="H15" s="185">
        <v>2.5000000000000001E-2</v>
      </c>
      <c r="K15" s="175" t="s">
        <v>48</v>
      </c>
      <c r="L15" s="186">
        <f t="shared" si="0"/>
        <v>283975.2</v>
      </c>
      <c r="M15" s="186">
        <f t="shared" si="0"/>
        <v>0</v>
      </c>
      <c r="N15" s="186">
        <f t="shared" si="0"/>
        <v>0</v>
      </c>
      <c r="O15" s="186">
        <f t="shared" si="0"/>
        <v>0</v>
      </c>
      <c r="P15" s="186">
        <f t="shared" si="0"/>
        <v>12592.983</v>
      </c>
      <c r="R15" s="175" t="s">
        <v>48</v>
      </c>
      <c r="S15" s="187">
        <f t="shared" si="1"/>
        <v>0.15346423895301445</v>
      </c>
      <c r="T15" s="187">
        <f t="shared" si="2"/>
        <v>0</v>
      </c>
      <c r="U15" s="187">
        <f t="shared" si="3"/>
        <v>0</v>
      </c>
      <c r="V15" s="187">
        <f t="shared" si="4"/>
        <v>0</v>
      </c>
      <c r="W15" s="187">
        <f t="shared" si="5"/>
        <v>0.20585622771100251</v>
      </c>
      <c r="Y15" s="175" t="s">
        <v>48</v>
      </c>
      <c r="Z15" s="186">
        <f t="shared" si="6"/>
        <v>283975.2</v>
      </c>
      <c r="AA15" s="186">
        <f t="shared" si="7"/>
        <v>0</v>
      </c>
      <c r="AB15" s="186">
        <f t="shared" si="8"/>
        <v>0</v>
      </c>
      <c r="AC15" s="186">
        <f t="shared" si="9"/>
        <v>0</v>
      </c>
      <c r="AD15" s="186">
        <f t="shared" si="10"/>
        <v>12592.983</v>
      </c>
      <c r="AF15" s="175" t="s">
        <v>48</v>
      </c>
      <c r="AG15" s="187">
        <f t="shared" si="11"/>
        <v>0.15679843523581785</v>
      </c>
      <c r="AH15" s="187">
        <f t="shared" si="12"/>
        <v>0</v>
      </c>
      <c r="AI15" s="187">
        <f t="shared" si="13"/>
        <v>0</v>
      </c>
      <c r="AJ15" s="187">
        <f t="shared" si="14"/>
        <v>0</v>
      </c>
      <c r="AK15" s="187">
        <f t="shared" si="15"/>
        <v>0.20591099936740287</v>
      </c>
    </row>
    <row r="16" spans="1:37" ht="15" x14ac:dyDescent="0.25">
      <c r="A16" s="183" t="s">
        <v>378</v>
      </c>
      <c r="B16" s="286" t="s">
        <v>389</v>
      </c>
      <c r="C16" s="184" t="s">
        <v>48</v>
      </c>
      <c r="D16" s="188">
        <v>0</v>
      </c>
      <c r="E16" s="188">
        <v>0</v>
      </c>
      <c r="F16" s="188">
        <v>0</v>
      </c>
      <c r="G16" s="188">
        <v>0</v>
      </c>
      <c r="H16" s="188">
        <v>1138.4960000000001</v>
      </c>
      <c r="K16" s="175" t="s">
        <v>20</v>
      </c>
      <c r="L16" s="186">
        <f t="shared" si="0"/>
        <v>325753.2</v>
      </c>
      <c r="M16" s="186">
        <f t="shared" si="0"/>
        <v>3036.6</v>
      </c>
      <c r="N16" s="186">
        <f t="shared" si="0"/>
        <v>27132.925999999999</v>
      </c>
      <c r="O16" s="186">
        <f t="shared" si="0"/>
        <v>20282.691999999999</v>
      </c>
      <c r="P16" s="186">
        <f t="shared" si="0"/>
        <v>1734.5119999999999</v>
      </c>
      <c r="R16" s="175" t="s">
        <v>20</v>
      </c>
      <c r="S16" s="187">
        <f t="shared" si="1"/>
        <v>0.17604166464011331</v>
      </c>
      <c r="T16" s="187">
        <f t="shared" si="2"/>
        <v>0.10424004251164745</v>
      </c>
      <c r="U16" s="187">
        <f t="shared" si="3"/>
        <v>9.1460050787719668E-2</v>
      </c>
      <c r="V16" s="187">
        <f t="shared" si="4"/>
        <v>0.11027876675072802</v>
      </c>
      <c r="W16" s="187">
        <f t="shared" si="5"/>
        <v>2.8353893373751587E-2</v>
      </c>
      <c r="Y16" s="175" t="s">
        <v>20</v>
      </c>
      <c r="Z16" s="186">
        <f t="shared" si="6"/>
        <v>325753.2</v>
      </c>
      <c r="AA16" s="186">
        <f t="shared" si="7"/>
        <v>3036.6</v>
      </c>
      <c r="AB16" s="186">
        <f t="shared" si="8"/>
        <v>27132.925999999999</v>
      </c>
      <c r="AC16" s="186">
        <f t="shared" si="9"/>
        <v>20282.691999999999</v>
      </c>
      <c r="AD16" s="186">
        <f t="shared" si="10"/>
        <v>1734.5119999999999</v>
      </c>
      <c r="AF16" s="175" t="s">
        <v>20</v>
      </c>
      <c r="AG16" s="187">
        <f t="shared" si="11"/>
        <v>0.17986638281462755</v>
      </c>
      <c r="AH16" s="187">
        <f t="shared" si="12"/>
        <v>0.10542563961554326</v>
      </c>
      <c r="AI16" s="187">
        <f t="shared" si="13"/>
        <v>9.3670739620177149E-2</v>
      </c>
      <c r="AJ16" s="187">
        <f t="shared" si="14"/>
        <v>0.11071630871297958</v>
      </c>
      <c r="AK16" s="187">
        <f t="shared" si="15"/>
        <v>2.8361437423901285E-2</v>
      </c>
    </row>
    <row r="17" spans="1:37" ht="15" x14ac:dyDescent="0.25">
      <c r="A17" s="183" t="s">
        <v>378</v>
      </c>
      <c r="B17" s="286" t="s">
        <v>349</v>
      </c>
      <c r="C17" s="184" t="s">
        <v>48</v>
      </c>
      <c r="D17" s="185">
        <v>282614.40000000002</v>
      </c>
      <c r="E17" s="185">
        <v>0</v>
      </c>
      <c r="F17" s="185">
        <v>0</v>
      </c>
      <c r="G17" s="185">
        <v>0</v>
      </c>
      <c r="H17" s="185">
        <v>11454.486999999999</v>
      </c>
      <c r="K17" s="175" t="s">
        <v>49</v>
      </c>
      <c r="L17" s="186">
        <f t="shared" si="0"/>
        <v>16369.2</v>
      </c>
      <c r="M17" s="186">
        <f t="shared" si="0"/>
        <v>504.72</v>
      </c>
      <c r="N17" s="186">
        <f t="shared" si="0"/>
        <v>2587.9609999999998</v>
      </c>
      <c r="O17" s="186">
        <f t="shared" si="0"/>
        <v>4124.57</v>
      </c>
      <c r="P17" s="186">
        <f t="shared" si="0"/>
        <v>30.784000000000002</v>
      </c>
      <c r="R17" s="175" t="s">
        <v>49</v>
      </c>
      <c r="S17" s="187">
        <f t="shared" si="1"/>
        <v>8.8461486082928517E-3</v>
      </c>
      <c r="T17" s="187">
        <f t="shared" si="2"/>
        <v>1.7325967943251894E-2</v>
      </c>
      <c r="U17" s="187">
        <f t="shared" si="3"/>
        <v>8.7235355485301425E-3</v>
      </c>
      <c r="V17" s="187">
        <f t="shared" si="4"/>
        <v>2.2425647097389749E-2</v>
      </c>
      <c r="W17" s="187">
        <f t="shared" si="5"/>
        <v>5.0322295470862639E-4</v>
      </c>
      <c r="Y17" s="175" t="s">
        <v>49</v>
      </c>
      <c r="Z17" s="186">
        <f t="shared" si="6"/>
        <v>16369.2</v>
      </c>
      <c r="AA17" s="186">
        <f t="shared" si="7"/>
        <v>504.72</v>
      </c>
      <c r="AB17" s="186">
        <f t="shared" si="8"/>
        <v>2587.9609999999998</v>
      </c>
      <c r="AC17" s="186">
        <f t="shared" si="9"/>
        <v>4124.57</v>
      </c>
      <c r="AD17" s="186">
        <f t="shared" si="10"/>
        <v>30.784000000000002</v>
      </c>
      <c r="AF17" s="175" t="s">
        <v>49</v>
      </c>
      <c r="AG17" s="187">
        <f t="shared" si="11"/>
        <v>9.0383418906374562E-3</v>
      </c>
      <c r="AH17" s="187">
        <f t="shared" si="12"/>
        <v>1.7523028659275835E-2</v>
      </c>
      <c r="AI17" s="187">
        <f t="shared" si="13"/>
        <v>8.9343928840617207E-3</v>
      </c>
      <c r="AJ17" s="187">
        <f t="shared" si="14"/>
        <v>2.2514623080027749E-2</v>
      </c>
      <c r="AK17" s="187">
        <f t="shared" si="15"/>
        <v>5.0335684599321152E-4</v>
      </c>
    </row>
    <row r="18" spans="1:37" ht="15" x14ac:dyDescent="0.25">
      <c r="A18" s="183" t="s">
        <v>378</v>
      </c>
      <c r="B18" s="286" t="s">
        <v>390</v>
      </c>
      <c r="C18" s="184" t="s">
        <v>47</v>
      </c>
      <c r="D18" s="188">
        <v>18</v>
      </c>
      <c r="E18" s="188">
        <v>0</v>
      </c>
      <c r="F18" s="188">
        <v>0</v>
      </c>
      <c r="G18" s="188">
        <v>0</v>
      </c>
      <c r="H18" s="188">
        <v>0</v>
      </c>
      <c r="K18" s="175" t="s">
        <v>50</v>
      </c>
      <c r="L18" s="186">
        <f t="shared" si="0"/>
        <v>22176</v>
      </c>
      <c r="M18" s="186">
        <f t="shared" si="0"/>
        <v>657</v>
      </c>
      <c r="N18" s="186">
        <f t="shared" si="0"/>
        <v>2718.3779999999997</v>
      </c>
      <c r="O18" s="186">
        <f t="shared" si="0"/>
        <v>917.11399999999992</v>
      </c>
      <c r="P18" s="186">
        <f t="shared" si="0"/>
        <v>39.575000000000003</v>
      </c>
      <c r="R18" s="175" t="s">
        <v>50</v>
      </c>
      <c r="S18" s="187">
        <f t="shared" si="1"/>
        <v>1.1984225957133048E-2</v>
      </c>
      <c r="T18" s="187">
        <f t="shared" si="2"/>
        <v>2.255341761514601E-2</v>
      </c>
      <c r="U18" s="187">
        <f t="shared" si="3"/>
        <v>9.1631470170308871E-3</v>
      </c>
      <c r="V18" s="187">
        <f t="shared" si="4"/>
        <v>4.9864288670274726E-3</v>
      </c>
      <c r="W18" s="187">
        <f t="shared" si="5"/>
        <v>6.4692854835609042E-4</v>
      </c>
      <c r="Y18" s="175" t="s">
        <v>50</v>
      </c>
      <c r="Z18" s="186">
        <f t="shared" si="6"/>
        <v>22176</v>
      </c>
      <c r="AA18" s="186">
        <f t="shared" si="7"/>
        <v>657</v>
      </c>
      <c r="AB18" s="186">
        <f t="shared" si="8"/>
        <v>2718.3779999999997</v>
      </c>
      <c r="AC18" s="186">
        <f t="shared" si="9"/>
        <v>917.11399999999992</v>
      </c>
      <c r="AD18" s="186">
        <f t="shared" si="10"/>
        <v>39.575000000000003</v>
      </c>
      <c r="AF18" s="175" t="s">
        <v>50</v>
      </c>
      <c r="AG18" s="187">
        <f t="shared" si="11"/>
        <v>1.2244597766951115E-2</v>
      </c>
      <c r="AH18" s="187">
        <f t="shared" si="12"/>
        <v>2.2809933882438228E-2</v>
      </c>
      <c r="AI18" s="187">
        <f t="shared" si="13"/>
        <v>9.3846302395553614E-3</v>
      </c>
      <c r="AJ18" s="187">
        <f t="shared" si="14"/>
        <v>5.0062130189126542E-3</v>
      </c>
      <c r="AK18" s="187">
        <f t="shared" si="15"/>
        <v>6.4710067503187844E-4</v>
      </c>
    </row>
    <row r="19" spans="1:37" ht="15" x14ac:dyDescent="0.25">
      <c r="A19" s="183" t="s">
        <v>378</v>
      </c>
      <c r="B19" s="286" t="s">
        <v>391</v>
      </c>
      <c r="C19" s="184" t="s">
        <v>392</v>
      </c>
      <c r="D19" s="185">
        <v>0</v>
      </c>
      <c r="E19" s="185">
        <v>0</v>
      </c>
      <c r="F19" s="185">
        <v>0</v>
      </c>
      <c r="G19" s="185">
        <v>0</v>
      </c>
      <c r="H19" s="185">
        <v>0</v>
      </c>
      <c r="K19" s="175" t="s">
        <v>51</v>
      </c>
      <c r="L19" s="186">
        <f t="shared" si="0"/>
        <v>108630</v>
      </c>
      <c r="M19" s="186">
        <f t="shared" si="0"/>
        <v>3636.7200000000003</v>
      </c>
      <c r="N19" s="186">
        <f t="shared" si="0"/>
        <v>177680.52300000002</v>
      </c>
      <c r="O19" s="186">
        <f t="shared" si="0"/>
        <v>66939.444000000003</v>
      </c>
      <c r="P19" s="186">
        <f t="shared" si="0"/>
        <v>20228.118999999999</v>
      </c>
      <c r="R19" s="175" t="s">
        <v>51</v>
      </c>
      <c r="S19" s="187">
        <f t="shared" si="1"/>
        <v>5.8705197768910665E-2</v>
      </c>
      <c r="T19" s="187">
        <f t="shared" si="2"/>
        <v>0.12484089027298904</v>
      </c>
      <c r="U19" s="187">
        <f t="shared" si="3"/>
        <v>0.59892802042686411</v>
      </c>
      <c r="V19" s="187">
        <f t="shared" si="4"/>
        <v>0.36395559974481795</v>
      </c>
      <c r="W19" s="187">
        <f t="shared" si="5"/>
        <v>0.33066702869600129</v>
      </c>
      <c r="Y19" s="175" t="s">
        <v>51</v>
      </c>
      <c r="Z19" s="186">
        <f t="shared" si="6"/>
        <v>108630</v>
      </c>
      <c r="AA19" s="186">
        <f t="shared" si="7"/>
        <v>3636.7200000000003</v>
      </c>
      <c r="AB19" s="186">
        <f t="shared" si="8"/>
        <v>177680.52300000002</v>
      </c>
      <c r="AC19" s="186">
        <f t="shared" si="9"/>
        <v>66939.444000000003</v>
      </c>
      <c r="AD19" s="186">
        <f t="shared" si="10"/>
        <v>20228.118999999999</v>
      </c>
      <c r="AF19" s="175" t="s">
        <v>51</v>
      </c>
      <c r="AG19" s="187">
        <f t="shared" si="11"/>
        <v>5.9980639223660703E-2</v>
      </c>
      <c r="AH19" s="187">
        <f t="shared" si="12"/>
        <v>0.1262607956604882</v>
      </c>
      <c r="AI19" s="187">
        <f t="shared" si="13"/>
        <v>0.61340476163572988</v>
      </c>
      <c r="AJ19" s="187">
        <f t="shared" si="14"/>
        <v>0.36539962974240348</v>
      </c>
      <c r="AK19" s="187">
        <f t="shared" si="15"/>
        <v>0.33075500845294159</v>
      </c>
    </row>
    <row r="20" spans="1:37" ht="15" x14ac:dyDescent="0.25">
      <c r="A20" s="183" t="s">
        <v>378</v>
      </c>
      <c r="B20" s="286" t="s">
        <v>393</v>
      </c>
      <c r="C20" s="189" t="s">
        <v>392</v>
      </c>
      <c r="D20" s="188">
        <v>0</v>
      </c>
      <c r="E20" s="188">
        <v>0</v>
      </c>
      <c r="F20" s="188">
        <v>0</v>
      </c>
      <c r="G20" s="188">
        <v>0</v>
      </c>
      <c r="H20" s="188">
        <v>0</v>
      </c>
      <c r="K20" s="175" t="s">
        <v>52</v>
      </c>
      <c r="L20" s="186">
        <f t="shared" si="0"/>
        <v>500090.4</v>
      </c>
      <c r="M20" s="186">
        <f t="shared" si="0"/>
        <v>12413.52</v>
      </c>
      <c r="N20" s="186">
        <f t="shared" si="0"/>
        <v>33326.718999999997</v>
      </c>
      <c r="O20" s="186">
        <f t="shared" si="0"/>
        <v>51908.262999999999</v>
      </c>
      <c r="P20" s="186">
        <f t="shared" si="0"/>
        <v>23.58</v>
      </c>
      <c r="R20" s="175" t="s">
        <v>52</v>
      </c>
      <c r="S20" s="187">
        <f t="shared" si="1"/>
        <v>0.27025596828071108</v>
      </c>
      <c r="T20" s="187">
        <f t="shared" si="2"/>
        <v>0.42612983353724093</v>
      </c>
      <c r="U20" s="187">
        <f t="shared" si="3"/>
        <v>0.11233817585055374</v>
      </c>
      <c r="V20" s="187">
        <f t="shared" si="4"/>
        <v>0.2822297566719667</v>
      </c>
      <c r="W20" s="187">
        <f t="shared" si="5"/>
        <v>3.8545989059347087E-4</v>
      </c>
      <c r="Y20" s="175" t="s">
        <v>52</v>
      </c>
      <c r="Z20" s="186">
        <f t="shared" si="6"/>
        <v>500090.4</v>
      </c>
      <c r="AA20" s="186">
        <f t="shared" si="7"/>
        <v>12413.52</v>
      </c>
      <c r="AB20" s="186">
        <f t="shared" si="8"/>
        <v>33326.718999999997</v>
      </c>
      <c r="AC20" s="186">
        <f t="shared" si="9"/>
        <v>51908.262999999999</v>
      </c>
      <c r="AD20" s="186">
        <f t="shared" si="10"/>
        <v>23.58</v>
      </c>
      <c r="AF20" s="175" t="s">
        <v>52</v>
      </c>
      <c r="AG20" s="187">
        <f t="shared" si="11"/>
        <v>0.27612760620101418</v>
      </c>
      <c r="AH20" s="187">
        <f t="shared" si="12"/>
        <v>0.43097651514204655</v>
      </c>
      <c r="AI20" s="187">
        <f t="shared" si="13"/>
        <v>0.11505351165752674</v>
      </c>
      <c r="AJ20" s="187">
        <f t="shared" si="14"/>
        <v>0.28334953126845963</v>
      </c>
      <c r="AK20" s="187">
        <f t="shared" si="15"/>
        <v>3.855624489514009E-4</v>
      </c>
    </row>
    <row r="21" spans="1:37" ht="15" x14ac:dyDescent="0.25">
      <c r="A21" s="183" t="s">
        <v>378</v>
      </c>
      <c r="B21" s="286" t="s">
        <v>17</v>
      </c>
      <c r="C21" s="184" t="s">
        <v>48</v>
      </c>
      <c r="D21" s="185">
        <v>1360.8</v>
      </c>
      <c r="E21" s="185">
        <v>0</v>
      </c>
      <c r="F21" s="185">
        <v>0</v>
      </c>
      <c r="G21" s="185">
        <v>0</v>
      </c>
      <c r="H21" s="185">
        <v>0</v>
      </c>
      <c r="K21" s="175" t="s">
        <v>53</v>
      </c>
      <c r="L21" s="186">
        <f t="shared" si="0"/>
        <v>271364.40000000002</v>
      </c>
      <c r="M21" s="186">
        <f t="shared" si="0"/>
        <v>5029.92</v>
      </c>
      <c r="N21" s="186">
        <f t="shared" si="0"/>
        <v>29315.760999999999</v>
      </c>
      <c r="O21" s="186">
        <f t="shared" si="0"/>
        <v>25516.835999999999</v>
      </c>
      <c r="P21" s="186">
        <f t="shared" si="0"/>
        <v>4565.3220000000001</v>
      </c>
      <c r="R21" s="175" t="s">
        <v>53</v>
      </c>
      <c r="S21" s="187">
        <f t="shared" si="1"/>
        <v>0.14664918318550846</v>
      </c>
      <c r="T21" s="187">
        <f t="shared" si="2"/>
        <v>0.17266649365414799</v>
      </c>
      <c r="U21" s="187">
        <f t="shared" si="3"/>
        <v>9.8817981884469497E-2</v>
      </c>
      <c r="V21" s="187">
        <f t="shared" si="4"/>
        <v>0.13873726453375024</v>
      </c>
      <c r="W21" s="187">
        <f t="shared" si="5"/>
        <v>7.4628859993382771E-2</v>
      </c>
      <c r="Y21" s="175" t="s">
        <v>53</v>
      </c>
      <c r="Z21" s="186">
        <f t="shared" si="6"/>
        <v>271364.40000000002</v>
      </c>
      <c r="AA21" s="186">
        <f t="shared" si="7"/>
        <v>5029.92</v>
      </c>
      <c r="AB21" s="186">
        <f t="shared" si="8"/>
        <v>29315.760999999999</v>
      </c>
      <c r="AC21" s="186">
        <f t="shared" si="9"/>
        <v>25516.835999999999</v>
      </c>
      <c r="AD21" s="186">
        <f t="shared" si="10"/>
        <v>4565.3220000000001</v>
      </c>
      <c r="AF21" s="175" t="s">
        <v>53</v>
      </c>
      <c r="AG21" s="187">
        <f t="shared" si="11"/>
        <v>0.14983531413555329</v>
      </c>
      <c r="AH21" s="187">
        <f t="shared" si="12"/>
        <v>0.17463035408516545</v>
      </c>
      <c r="AI21" s="187">
        <f t="shared" si="13"/>
        <v>0.1012065199086285</v>
      </c>
      <c r="AJ21" s="187">
        <f t="shared" si="14"/>
        <v>0.13928771841304255</v>
      </c>
      <c r="AK21" s="187">
        <f t="shared" si="15"/>
        <v>7.4648716309232727E-2</v>
      </c>
    </row>
    <row r="22" spans="1:37" ht="15" x14ac:dyDescent="0.25">
      <c r="A22" s="183" t="s">
        <v>378</v>
      </c>
      <c r="B22" s="286" t="s">
        <v>394</v>
      </c>
      <c r="C22" s="189" t="s">
        <v>392</v>
      </c>
      <c r="D22" s="188">
        <v>0</v>
      </c>
      <c r="E22" s="188">
        <v>0</v>
      </c>
      <c r="F22" s="188">
        <v>0</v>
      </c>
      <c r="G22" s="188">
        <v>0</v>
      </c>
      <c r="H22" s="188">
        <v>0</v>
      </c>
      <c r="K22" s="175" t="s">
        <v>39</v>
      </c>
      <c r="L22" s="186">
        <f t="shared" si="0"/>
        <v>792</v>
      </c>
      <c r="M22" s="186">
        <f t="shared" si="0"/>
        <v>4.68</v>
      </c>
      <c r="N22" s="186">
        <f t="shared" si="0"/>
        <v>15.368</v>
      </c>
      <c r="O22" s="186">
        <f t="shared" si="0"/>
        <v>2.2719999999999998</v>
      </c>
      <c r="P22" s="186">
        <f t="shared" si="0"/>
        <v>16.271999999999998</v>
      </c>
      <c r="R22" s="175" t="s">
        <v>39</v>
      </c>
      <c r="S22" s="187">
        <f t="shared" si="1"/>
        <v>4.2800806989760882E-4</v>
      </c>
      <c r="T22" s="187">
        <f t="shared" si="2"/>
        <v>1.6065448164213596E-4</v>
      </c>
      <c r="U22" s="187">
        <f t="shared" si="3"/>
        <v>5.1802671798304238E-5</v>
      </c>
      <c r="V22" s="187">
        <f t="shared" si="4"/>
        <v>1.2353062308378694E-5</v>
      </c>
      <c r="W22" s="187">
        <f t="shared" si="5"/>
        <v>2.659967489286242E-4</v>
      </c>
      <c r="Y22" s="175" t="s">
        <v>54</v>
      </c>
      <c r="Z22" s="186">
        <f>SUM(Z11:Z21)</f>
        <v>1811084.4</v>
      </c>
      <c r="AA22" s="186">
        <f>SUM(AA11:AA21)</f>
        <v>28803.239999999998</v>
      </c>
      <c r="AB22" s="186">
        <f>SUM(AB11:AB21)</f>
        <v>289662.77100000001</v>
      </c>
      <c r="AC22" s="186">
        <f>SUM(AC11:AC21)</f>
        <v>183195.16100000002</v>
      </c>
      <c r="AD22" s="186">
        <f>SUM(AD11:AD21)</f>
        <v>61157.408000000003</v>
      </c>
      <c r="AF22" s="175" t="s">
        <v>54</v>
      </c>
      <c r="AG22" s="187">
        <f t="shared" si="11"/>
        <v>1</v>
      </c>
      <c r="AH22" s="187">
        <f t="shared" si="12"/>
        <v>1</v>
      </c>
      <c r="AI22" s="187">
        <f t="shared" si="13"/>
        <v>1</v>
      </c>
      <c r="AJ22" s="187">
        <f t="shared" si="14"/>
        <v>1</v>
      </c>
      <c r="AK22" s="187">
        <f t="shared" si="15"/>
        <v>1</v>
      </c>
    </row>
    <row r="23" spans="1:37" ht="15" x14ac:dyDescent="0.25">
      <c r="A23" s="183" t="s">
        <v>378</v>
      </c>
      <c r="B23" s="285" t="s">
        <v>395</v>
      </c>
      <c r="C23" s="184" t="s">
        <v>385</v>
      </c>
      <c r="D23" s="185">
        <v>32094</v>
      </c>
      <c r="E23" s="185">
        <v>0</v>
      </c>
      <c r="F23" s="185">
        <v>6968.8909999999996</v>
      </c>
      <c r="G23" s="185">
        <v>0</v>
      </c>
      <c r="H23" s="185">
        <v>0</v>
      </c>
      <c r="K23" s="175" t="s">
        <v>62</v>
      </c>
      <c r="L23" s="186">
        <f t="shared" si="0"/>
        <v>5688</v>
      </c>
      <c r="M23" s="186">
        <f t="shared" si="0"/>
        <v>322.92</v>
      </c>
      <c r="N23" s="186">
        <f t="shared" si="0"/>
        <v>0</v>
      </c>
      <c r="O23" s="186">
        <f>SUMIFS(G:G,$A:$A,$K$9,$C:$C,$K23)</f>
        <v>-2.2719999999999998</v>
      </c>
      <c r="P23" s="186">
        <f t="shared" si="0"/>
        <v>0</v>
      </c>
      <c r="R23" s="175" t="s">
        <v>62</v>
      </c>
      <c r="S23" s="187">
        <f t="shared" si="1"/>
        <v>3.0738761383555541E-3</v>
      </c>
      <c r="T23" s="187">
        <f t="shared" si="2"/>
        <v>1.1085159233307383E-2</v>
      </c>
      <c r="U23" s="187">
        <f t="shared" si="3"/>
        <v>0</v>
      </c>
      <c r="V23" s="187">
        <f t="shared" si="4"/>
        <v>-1.2353062308378694E-5</v>
      </c>
      <c r="W23" s="187">
        <f t="shared" si="5"/>
        <v>0</v>
      </c>
      <c r="Y23" s="190"/>
      <c r="Z23" s="191"/>
      <c r="AA23" s="191"/>
      <c r="AB23" s="191"/>
      <c r="AC23" s="191"/>
      <c r="AD23" s="191"/>
      <c r="AF23" s="190" t="s">
        <v>396</v>
      </c>
      <c r="AG23" s="192" t="b">
        <f>SUM(AG11:AG21)=AG22</f>
        <v>1</v>
      </c>
      <c r="AH23" s="192" t="b">
        <f>SUM(AH11:AH21)=AH22</f>
        <v>1</v>
      </c>
      <c r="AI23" s="192" t="b">
        <f>SUM(AI11:AI21)=AI22</f>
        <v>1</v>
      </c>
      <c r="AJ23" s="192" t="b">
        <f>SUM(AJ11:AJ21)=AJ22</f>
        <v>1</v>
      </c>
      <c r="AK23" s="192" t="b">
        <f>SUM(AK11:AK21)=AK22</f>
        <v>1</v>
      </c>
    </row>
    <row r="24" spans="1:37" ht="15" x14ac:dyDescent="0.25">
      <c r="A24" s="183" t="s">
        <v>378</v>
      </c>
      <c r="B24" s="286" t="s">
        <v>397</v>
      </c>
      <c r="C24" s="189" t="s">
        <v>395</v>
      </c>
      <c r="D24" s="188">
        <v>6544.8</v>
      </c>
      <c r="E24" s="188">
        <v>0</v>
      </c>
      <c r="F24" s="188">
        <v>885.11</v>
      </c>
      <c r="G24" s="188">
        <v>0</v>
      </c>
      <c r="H24" s="188">
        <v>0</v>
      </c>
      <c r="K24" s="175" t="s">
        <v>60</v>
      </c>
      <c r="L24" s="186">
        <f t="shared" si="0"/>
        <v>774</v>
      </c>
      <c r="M24" s="186">
        <f t="shared" si="0"/>
        <v>0</v>
      </c>
      <c r="N24" s="186">
        <f t="shared" si="0"/>
        <v>0</v>
      </c>
      <c r="O24" s="186">
        <f t="shared" si="0"/>
        <v>726.84400000000005</v>
      </c>
      <c r="P24" s="186">
        <f t="shared" si="0"/>
        <v>0</v>
      </c>
      <c r="R24" s="175" t="s">
        <v>60</v>
      </c>
      <c r="S24" s="187">
        <f t="shared" si="1"/>
        <v>4.1828061376357223E-4</v>
      </c>
      <c r="T24" s="187">
        <f t="shared" si="2"/>
        <v>0</v>
      </c>
      <c r="U24" s="187">
        <f t="shared" si="3"/>
        <v>0</v>
      </c>
      <c r="V24" s="187">
        <f t="shared" si="4"/>
        <v>3.9519142695735934E-3</v>
      </c>
      <c r="W24" s="187">
        <f t="shared" si="5"/>
        <v>0</v>
      </c>
      <c r="Z24" s="186"/>
      <c r="AA24" s="186"/>
      <c r="AB24" s="186"/>
      <c r="AC24" s="186"/>
      <c r="AD24" s="186"/>
      <c r="AG24" s="187"/>
      <c r="AH24" s="187"/>
      <c r="AI24" s="187"/>
      <c r="AJ24" s="187"/>
      <c r="AK24" s="187"/>
    </row>
    <row r="25" spans="1:37" ht="15" x14ac:dyDescent="0.25">
      <c r="A25" s="183" t="s">
        <v>378</v>
      </c>
      <c r="B25" s="286" t="s">
        <v>398</v>
      </c>
      <c r="C25" s="184" t="s">
        <v>392</v>
      </c>
      <c r="D25" s="185">
        <v>0</v>
      </c>
      <c r="E25" s="185">
        <v>0</v>
      </c>
      <c r="F25" s="185">
        <v>0</v>
      </c>
      <c r="G25" s="185">
        <v>0</v>
      </c>
      <c r="H25" s="185">
        <v>0</v>
      </c>
      <c r="K25" s="175" t="s">
        <v>61</v>
      </c>
      <c r="L25" s="186">
        <f t="shared" si="0"/>
        <v>0</v>
      </c>
      <c r="M25" s="186">
        <f t="shared" si="0"/>
        <v>0</v>
      </c>
      <c r="N25" s="186">
        <f t="shared" si="0"/>
        <v>0</v>
      </c>
      <c r="O25" s="186">
        <f t="shared" si="0"/>
        <v>0</v>
      </c>
      <c r="P25" s="186">
        <f t="shared" si="0"/>
        <v>0</v>
      </c>
      <c r="R25" s="175" t="s">
        <v>61</v>
      </c>
      <c r="S25" s="187">
        <f t="shared" si="1"/>
        <v>0</v>
      </c>
      <c r="T25" s="187">
        <f t="shared" si="2"/>
        <v>0</v>
      </c>
      <c r="U25" s="187">
        <f t="shared" si="3"/>
        <v>0</v>
      </c>
      <c r="V25" s="187">
        <f t="shared" si="4"/>
        <v>0</v>
      </c>
      <c r="W25" s="187">
        <f t="shared" si="5"/>
        <v>0</v>
      </c>
      <c r="Z25" s="186"/>
      <c r="AA25" s="186"/>
      <c r="AB25" s="186"/>
      <c r="AC25" s="186"/>
      <c r="AD25" s="186"/>
      <c r="AG25" s="187"/>
      <c r="AH25" s="187"/>
      <c r="AI25" s="187"/>
      <c r="AJ25" s="187"/>
      <c r="AK25" s="187"/>
    </row>
    <row r="26" spans="1:37" ht="15" x14ac:dyDescent="0.25">
      <c r="A26" s="183" t="s">
        <v>378</v>
      </c>
      <c r="B26" s="286" t="s">
        <v>399</v>
      </c>
      <c r="C26" s="189" t="s">
        <v>395</v>
      </c>
      <c r="D26" s="188">
        <v>22989.599999999999</v>
      </c>
      <c r="E26" s="188">
        <v>0</v>
      </c>
      <c r="F26" s="188">
        <v>5145.2780000000002</v>
      </c>
      <c r="G26" s="188">
        <v>0</v>
      </c>
      <c r="H26" s="188">
        <v>0</v>
      </c>
      <c r="K26" s="175" t="s">
        <v>400</v>
      </c>
      <c r="L26" s="186">
        <f t="shared" si="0"/>
        <v>0</v>
      </c>
      <c r="M26" s="186">
        <f t="shared" si="0"/>
        <v>0</v>
      </c>
      <c r="N26" s="186">
        <f t="shared" si="0"/>
        <v>17.204000000000001</v>
      </c>
      <c r="O26" s="186">
        <f t="shared" si="0"/>
        <v>0</v>
      </c>
      <c r="P26" s="186">
        <f t="shared" si="0"/>
        <v>0</v>
      </c>
      <c r="R26" s="175" t="s">
        <v>400</v>
      </c>
      <c r="S26" s="187">
        <f t="shared" si="1"/>
        <v>0</v>
      </c>
      <c r="T26" s="187">
        <f t="shared" si="2"/>
        <v>0</v>
      </c>
      <c r="U26" s="187">
        <f t="shared" si="3"/>
        <v>5.7991486570668022E-5</v>
      </c>
      <c r="V26" s="187">
        <f t="shared" si="4"/>
        <v>0</v>
      </c>
      <c r="W26" s="187">
        <f t="shared" si="5"/>
        <v>0</v>
      </c>
      <c r="Z26" s="186"/>
      <c r="AA26" s="186"/>
      <c r="AB26" s="186"/>
      <c r="AC26" s="186"/>
      <c r="AD26" s="186"/>
      <c r="AG26" s="187"/>
      <c r="AH26" s="187"/>
      <c r="AI26" s="187"/>
      <c r="AJ26" s="187"/>
      <c r="AK26" s="187"/>
    </row>
    <row r="27" spans="1:37" ht="15" x14ac:dyDescent="0.25">
      <c r="A27" s="183" t="s">
        <v>378</v>
      </c>
      <c r="B27" s="286" t="s">
        <v>401</v>
      </c>
      <c r="C27" s="184" t="s">
        <v>395</v>
      </c>
      <c r="D27" s="185">
        <v>2559.6</v>
      </c>
      <c r="E27" s="185">
        <v>0</v>
      </c>
      <c r="F27" s="185">
        <v>938.50199999999995</v>
      </c>
      <c r="G27" s="185">
        <v>0</v>
      </c>
      <c r="H27" s="185">
        <v>0</v>
      </c>
      <c r="K27" s="175" t="s">
        <v>402</v>
      </c>
      <c r="L27" s="186">
        <f t="shared" si="0"/>
        <v>0</v>
      </c>
      <c r="M27" s="186">
        <f t="shared" si="0"/>
        <v>0</v>
      </c>
      <c r="N27" s="186">
        <f t="shared" si="0"/>
        <v>0</v>
      </c>
      <c r="O27" s="186">
        <f t="shared" si="0"/>
        <v>0</v>
      </c>
      <c r="P27" s="186">
        <f t="shared" si="0"/>
        <v>0</v>
      </c>
      <c r="R27" s="175" t="s">
        <v>402</v>
      </c>
      <c r="S27" s="187">
        <f t="shared" si="1"/>
        <v>0</v>
      </c>
      <c r="T27" s="187">
        <f t="shared" si="2"/>
        <v>0</v>
      </c>
      <c r="U27" s="187">
        <f t="shared" si="3"/>
        <v>0</v>
      </c>
      <c r="V27" s="187">
        <f t="shared" si="4"/>
        <v>0</v>
      </c>
      <c r="W27" s="187">
        <f t="shared" si="5"/>
        <v>0</v>
      </c>
      <c r="Z27" s="186"/>
      <c r="AA27" s="186"/>
      <c r="AB27" s="186"/>
      <c r="AC27" s="186"/>
      <c r="AD27" s="186"/>
      <c r="AG27" s="187"/>
      <c r="AH27" s="187"/>
      <c r="AI27" s="187"/>
      <c r="AJ27" s="187"/>
      <c r="AK27" s="187"/>
    </row>
    <row r="28" spans="1:37" ht="15" x14ac:dyDescent="0.25">
      <c r="A28" s="183" t="s">
        <v>378</v>
      </c>
      <c r="B28" s="285" t="s">
        <v>403</v>
      </c>
      <c r="C28" s="184" t="s">
        <v>385</v>
      </c>
      <c r="D28" s="188">
        <v>0</v>
      </c>
      <c r="E28" s="188">
        <v>0</v>
      </c>
      <c r="F28" s="188">
        <v>0</v>
      </c>
      <c r="G28" s="188">
        <v>0</v>
      </c>
      <c r="H28" s="188">
        <v>0</v>
      </c>
      <c r="K28" s="175" t="s">
        <v>395</v>
      </c>
      <c r="L28" s="186">
        <f t="shared" si="0"/>
        <v>32093.999999999996</v>
      </c>
      <c r="M28" s="186">
        <f t="shared" si="0"/>
        <v>0</v>
      </c>
      <c r="N28" s="186">
        <f t="shared" si="0"/>
        <v>6968.8899999999994</v>
      </c>
      <c r="O28" s="186">
        <f t="shared" si="0"/>
        <v>0</v>
      </c>
      <c r="P28" s="186">
        <f t="shared" si="0"/>
        <v>0</v>
      </c>
      <c r="R28" s="175" t="s">
        <v>395</v>
      </c>
      <c r="S28" s="187">
        <f t="shared" si="1"/>
        <v>1.7344054286987192E-2</v>
      </c>
      <c r="T28" s="187">
        <f t="shared" si="2"/>
        <v>0</v>
      </c>
      <c r="U28" s="187">
        <f t="shared" si="3"/>
        <v>2.3490832995086176E-2</v>
      </c>
      <c r="V28" s="187">
        <f t="shared" si="4"/>
        <v>0</v>
      </c>
      <c r="W28" s="187">
        <f t="shared" si="5"/>
        <v>0</v>
      </c>
    </row>
    <row r="29" spans="1:37" ht="15" x14ac:dyDescent="0.25">
      <c r="A29" s="183" t="s">
        <v>378</v>
      </c>
      <c r="B29" s="286" t="s">
        <v>402</v>
      </c>
      <c r="C29" s="184" t="s">
        <v>392</v>
      </c>
      <c r="D29" s="185">
        <v>0</v>
      </c>
      <c r="E29" s="185">
        <v>0</v>
      </c>
      <c r="F29" s="185">
        <v>0</v>
      </c>
      <c r="G29" s="185">
        <v>0</v>
      </c>
      <c r="H29" s="185">
        <v>0</v>
      </c>
      <c r="K29" s="175" t="s">
        <v>54</v>
      </c>
      <c r="L29" s="186">
        <f t="shared" si="0"/>
        <v>1850432.4</v>
      </c>
      <c r="M29" s="186">
        <f t="shared" si="0"/>
        <v>29130.84</v>
      </c>
      <c r="N29" s="186">
        <f t="shared" si="0"/>
        <v>296664.23499999999</v>
      </c>
      <c r="O29" s="186">
        <f t="shared" si="0"/>
        <v>183922.00599999999</v>
      </c>
      <c r="P29" s="186">
        <f t="shared" si="0"/>
        <v>61173.68</v>
      </c>
      <c r="R29" s="175" t="s">
        <v>54</v>
      </c>
      <c r="S29" s="187">
        <f t="shared" si="1"/>
        <v>1</v>
      </c>
      <c r="T29" s="187">
        <f t="shared" si="2"/>
        <v>1</v>
      </c>
      <c r="U29" s="187">
        <f t="shared" si="3"/>
        <v>1</v>
      </c>
      <c r="V29" s="187">
        <f t="shared" si="4"/>
        <v>1</v>
      </c>
      <c r="W29" s="187">
        <f t="shared" si="5"/>
        <v>1</v>
      </c>
    </row>
    <row r="30" spans="1:37" ht="15" x14ac:dyDescent="0.25">
      <c r="A30" s="183" t="s">
        <v>378</v>
      </c>
      <c r="B30" s="286" t="s">
        <v>404</v>
      </c>
      <c r="C30" s="189" t="s">
        <v>392</v>
      </c>
      <c r="D30" s="188">
        <v>0</v>
      </c>
      <c r="E30" s="188">
        <v>0</v>
      </c>
      <c r="F30" s="188">
        <v>0</v>
      </c>
      <c r="G30" s="188">
        <v>0</v>
      </c>
      <c r="H30" s="188">
        <v>0</v>
      </c>
      <c r="K30" s="190" t="s">
        <v>396</v>
      </c>
      <c r="L30" s="191" t="b">
        <f>ROUND(L29,0)=ROUND(D11,0)</f>
        <v>1</v>
      </c>
      <c r="M30" s="191" t="b">
        <f t="shared" ref="M30:P30" si="16">ROUND(M29,0)=ROUND(E11,0)</f>
        <v>1</v>
      </c>
      <c r="N30" s="191" t="b">
        <f t="shared" si="16"/>
        <v>1</v>
      </c>
      <c r="O30" s="191" t="b">
        <f t="shared" si="16"/>
        <v>1</v>
      </c>
      <c r="P30" s="191" t="b">
        <f t="shared" si="16"/>
        <v>1</v>
      </c>
      <c r="R30" s="190" t="s">
        <v>396</v>
      </c>
      <c r="S30" s="192" t="b">
        <f>SUM(S11:S28)=S29</f>
        <v>1</v>
      </c>
      <c r="T30" s="192" t="b">
        <f t="shared" ref="T30" si="17">SUM(T11:T28)=T29</f>
        <v>1</v>
      </c>
      <c r="U30" s="192" t="b">
        <f t="shared" ref="U30" si="18">SUM(U11:U28)=U29</f>
        <v>0</v>
      </c>
      <c r="V30" s="192" t="b">
        <f t="shared" ref="V30:W30" si="19">SUM(V11:V28)=V29</f>
        <v>0</v>
      </c>
      <c r="W30" s="192" t="b">
        <f t="shared" si="19"/>
        <v>1</v>
      </c>
    </row>
    <row r="31" spans="1:37" ht="15" x14ac:dyDescent="0.25">
      <c r="A31" s="183" t="s">
        <v>378</v>
      </c>
      <c r="B31" s="285" t="s">
        <v>405</v>
      </c>
      <c r="C31" s="184" t="s">
        <v>392</v>
      </c>
      <c r="D31" s="185">
        <v>0</v>
      </c>
      <c r="E31" s="185">
        <v>0</v>
      </c>
      <c r="F31" s="185">
        <v>0</v>
      </c>
      <c r="G31" s="185">
        <v>0</v>
      </c>
      <c r="H31" s="185">
        <v>0</v>
      </c>
    </row>
    <row r="32" spans="1:37" ht="15" x14ac:dyDescent="0.25">
      <c r="A32" s="183" t="s">
        <v>378</v>
      </c>
      <c r="B32" s="285" t="s">
        <v>20</v>
      </c>
      <c r="C32" s="189" t="s">
        <v>20</v>
      </c>
      <c r="D32" s="188">
        <v>325753.2</v>
      </c>
      <c r="E32" s="188">
        <v>3036.6</v>
      </c>
      <c r="F32" s="188">
        <v>27132.925999999999</v>
      </c>
      <c r="G32" s="188">
        <v>20282.691999999999</v>
      </c>
      <c r="H32" s="188">
        <v>1734.5119999999999</v>
      </c>
      <c r="Y32" s="177"/>
      <c r="AF32" s="177"/>
    </row>
    <row r="33" spans="1:37" ht="15" x14ac:dyDescent="0.25">
      <c r="A33" s="183" t="s">
        <v>378</v>
      </c>
      <c r="B33" s="285" t="s">
        <v>406</v>
      </c>
      <c r="C33" s="184" t="s">
        <v>385</v>
      </c>
      <c r="D33" s="185">
        <v>16369.2</v>
      </c>
      <c r="E33" s="185">
        <v>504.72</v>
      </c>
      <c r="F33" s="185">
        <v>2587.9609999999998</v>
      </c>
      <c r="G33" s="185">
        <v>4124.57</v>
      </c>
      <c r="H33" s="185">
        <v>30.783999999999999</v>
      </c>
      <c r="K33" s="177" t="s">
        <v>407</v>
      </c>
      <c r="R33" s="177" t="s">
        <v>407</v>
      </c>
      <c r="Y33" s="177" t="s">
        <v>407</v>
      </c>
      <c r="AF33" s="177" t="s">
        <v>407</v>
      </c>
    </row>
    <row r="34" spans="1:37" ht="15" x14ac:dyDescent="0.25">
      <c r="A34" s="183" t="s">
        <v>378</v>
      </c>
      <c r="B34" s="286" t="s">
        <v>408</v>
      </c>
      <c r="C34" s="189" t="s">
        <v>392</v>
      </c>
      <c r="D34" s="188">
        <v>0</v>
      </c>
      <c r="E34" s="188">
        <v>0</v>
      </c>
      <c r="F34" s="188">
        <v>0</v>
      </c>
      <c r="G34" s="188">
        <v>0</v>
      </c>
      <c r="H34" s="188">
        <v>0</v>
      </c>
      <c r="K34" s="175" t="s">
        <v>382</v>
      </c>
      <c r="L34" s="175" t="s">
        <v>135</v>
      </c>
      <c r="M34" s="175" t="s">
        <v>136</v>
      </c>
      <c r="N34" s="175" t="s">
        <v>137</v>
      </c>
      <c r="O34" s="175" t="s">
        <v>138</v>
      </c>
      <c r="P34" s="175" t="s">
        <v>139</v>
      </c>
      <c r="R34" s="175" t="s">
        <v>383</v>
      </c>
      <c r="S34" s="175" t="s">
        <v>135</v>
      </c>
      <c r="T34" s="175" t="s">
        <v>136</v>
      </c>
      <c r="U34" s="175" t="s">
        <v>137</v>
      </c>
      <c r="V34" s="175" t="s">
        <v>138</v>
      </c>
      <c r="W34" s="175" t="s">
        <v>139</v>
      </c>
      <c r="Y34" s="175" t="s">
        <v>382</v>
      </c>
      <c r="Z34" s="175" t="s">
        <v>135</v>
      </c>
      <c r="AA34" s="175" t="s">
        <v>136</v>
      </c>
      <c r="AB34" s="175" t="s">
        <v>137</v>
      </c>
      <c r="AC34" s="175" t="s">
        <v>138</v>
      </c>
      <c r="AD34" s="175" t="s">
        <v>139</v>
      </c>
      <c r="AF34" s="175" t="s">
        <v>383</v>
      </c>
      <c r="AG34" s="175" t="s">
        <v>135</v>
      </c>
      <c r="AH34" s="175" t="s">
        <v>136</v>
      </c>
      <c r="AI34" s="175" t="s">
        <v>137</v>
      </c>
      <c r="AJ34" s="175" t="s">
        <v>138</v>
      </c>
      <c r="AK34" s="175" t="s">
        <v>139</v>
      </c>
    </row>
    <row r="35" spans="1:37" ht="15" x14ac:dyDescent="0.25">
      <c r="A35" s="183" t="s">
        <v>378</v>
      </c>
      <c r="B35" s="286" t="s">
        <v>409</v>
      </c>
      <c r="C35" s="184" t="s">
        <v>392</v>
      </c>
      <c r="D35" s="185">
        <v>0</v>
      </c>
      <c r="E35" s="185">
        <v>0</v>
      </c>
      <c r="F35" s="185">
        <v>0</v>
      </c>
      <c r="G35" s="185">
        <v>0</v>
      </c>
      <c r="H35" s="185">
        <v>0</v>
      </c>
      <c r="K35" s="175" t="s">
        <v>44</v>
      </c>
      <c r="L35" s="186">
        <f>SUMIFS(D:D,$A:$A,$K$33,$C:$C,$K35)</f>
        <v>80821</v>
      </c>
      <c r="M35" s="186">
        <f t="shared" ref="M35:P50" si="20">SUMIFS(E:E,$A:$A,$K$33,$C:$C,$K35)</f>
        <v>25168</v>
      </c>
      <c r="N35" s="186">
        <f t="shared" si="20"/>
        <v>45157.387000000002</v>
      </c>
      <c r="O35" s="186">
        <f t="shared" si="20"/>
        <v>0</v>
      </c>
      <c r="P35" s="186">
        <f t="shared" si="20"/>
        <v>1831.27</v>
      </c>
      <c r="R35" s="175" t="s">
        <v>44</v>
      </c>
      <c r="S35" s="187">
        <f t="shared" ref="S35:S53" si="21">L35/L$53</f>
        <v>0.19531227344346599</v>
      </c>
      <c r="T35" s="187">
        <f t="shared" ref="T35:T53" si="22">M35/M$53</f>
        <v>0.68030814974996623</v>
      </c>
      <c r="U35" s="187">
        <f t="shared" ref="U35:U53" si="23">N35/N$53</f>
        <v>0.55408623408310231</v>
      </c>
      <c r="V35" s="187">
        <f t="shared" ref="V35:V53" si="24">O35/O$53</f>
        <v>0</v>
      </c>
      <c r="W35" s="187">
        <f t="shared" ref="W35:W53" si="25">P35/P$53</f>
        <v>0.22829483664740055</v>
      </c>
      <c r="Y35" s="175" t="s">
        <v>44</v>
      </c>
      <c r="Z35" s="186">
        <f t="shared" ref="Z35:AD36" si="26">SUMIFS(D:D,$A:$A,$K$33,$C:$C,$K35)</f>
        <v>80821</v>
      </c>
      <c r="AA35" s="186">
        <f t="shared" si="26"/>
        <v>25168</v>
      </c>
      <c r="AB35" s="186">
        <f t="shared" si="26"/>
        <v>45157.387000000002</v>
      </c>
      <c r="AC35" s="186">
        <f t="shared" si="26"/>
        <v>0</v>
      </c>
      <c r="AD35" s="186">
        <f t="shared" si="26"/>
        <v>1831.27</v>
      </c>
      <c r="AF35" s="175" t="s">
        <v>44</v>
      </c>
      <c r="AG35" s="187">
        <f t="shared" ref="AG35:AG46" si="27">Z35/Z$46</f>
        <v>0.1953287945689503</v>
      </c>
      <c r="AH35" s="187">
        <f t="shared" ref="AH35:AH46" si="28">AA35/AA$46</f>
        <v>0.68135795116140563</v>
      </c>
      <c r="AI35" s="187">
        <f t="shared" ref="AI35:AI46" si="29">AB35/AB$46</f>
        <v>0.5540862340831022</v>
      </c>
      <c r="AJ35" s="187">
        <f t="shared" ref="AJ35:AJ46" si="30">AC35/AC$46</f>
        <v>0</v>
      </c>
      <c r="AK35" s="187">
        <f t="shared" ref="AK35:AK46" si="31">AD35/AD$46</f>
        <v>0.22829483664740055</v>
      </c>
    </row>
    <row r="36" spans="1:37" ht="15" x14ac:dyDescent="0.25">
      <c r="A36" s="183" t="s">
        <v>378</v>
      </c>
      <c r="B36" s="286" t="s">
        <v>410</v>
      </c>
      <c r="C36" s="189" t="s">
        <v>392</v>
      </c>
      <c r="D36" s="188">
        <v>0</v>
      </c>
      <c r="E36" s="188">
        <v>0</v>
      </c>
      <c r="F36" s="188">
        <v>0</v>
      </c>
      <c r="G36" s="188">
        <v>0</v>
      </c>
      <c r="H36" s="188">
        <v>0</v>
      </c>
      <c r="K36" s="175" t="s">
        <v>46</v>
      </c>
      <c r="L36" s="186">
        <f t="shared" ref="L36:P53" si="32">SUMIFS(D:D,$A:$A,$K$33,$C:$C,$K36)</f>
        <v>435</v>
      </c>
      <c r="M36" s="186">
        <f t="shared" si="20"/>
        <v>0</v>
      </c>
      <c r="N36" s="186">
        <f t="shared" si="20"/>
        <v>387.46899999999999</v>
      </c>
      <c r="O36" s="186">
        <f t="shared" si="20"/>
        <v>0</v>
      </c>
      <c r="P36" s="186">
        <f t="shared" si="20"/>
        <v>0</v>
      </c>
      <c r="R36" s="175" t="s">
        <v>46</v>
      </c>
      <c r="S36" s="187">
        <f t="shared" si="21"/>
        <v>1.0512223178122976E-3</v>
      </c>
      <c r="T36" s="187">
        <f t="shared" si="22"/>
        <v>0</v>
      </c>
      <c r="U36" s="187">
        <f t="shared" si="23"/>
        <v>4.7542883522898602E-3</v>
      </c>
      <c r="V36" s="187">
        <f t="shared" si="24"/>
        <v>0</v>
      </c>
      <c r="W36" s="187">
        <f t="shared" si="25"/>
        <v>0</v>
      </c>
      <c r="Y36" s="175" t="s">
        <v>46</v>
      </c>
      <c r="Z36" s="186">
        <f t="shared" si="26"/>
        <v>435</v>
      </c>
      <c r="AA36" s="186">
        <f t="shared" si="26"/>
        <v>0</v>
      </c>
      <c r="AB36" s="186">
        <f t="shared" si="26"/>
        <v>387.46899999999999</v>
      </c>
      <c r="AC36" s="186">
        <f t="shared" si="26"/>
        <v>0</v>
      </c>
      <c r="AD36" s="186">
        <f t="shared" si="26"/>
        <v>0</v>
      </c>
      <c r="AF36" s="175" t="s">
        <v>46</v>
      </c>
      <c r="AG36" s="187">
        <f t="shared" si="27"/>
        <v>1.0513112388796648E-3</v>
      </c>
      <c r="AH36" s="187">
        <f t="shared" si="28"/>
        <v>0</v>
      </c>
      <c r="AI36" s="187">
        <f t="shared" si="29"/>
        <v>4.7542883522898594E-3</v>
      </c>
      <c r="AJ36" s="187">
        <f t="shared" si="30"/>
        <v>0</v>
      </c>
      <c r="AK36" s="187">
        <f t="shared" si="31"/>
        <v>0</v>
      </c>
    </row>
    <row r="37" spans="1:37" ht="15" x14ac:dyDescent="0.25">
      <c r="A37" s="183" t="s">
        <v>378</v>
      </c>
      <c r="B37" s="286" t="s">
        <v>411</v>
      </c>
      <c r="C37" s="184" t="s">
        <v>392</v>
      </c>
      <c r="D37" s="185">
        <v>0</v>
      </c>
      <c r="E37" s="185">
        <v>0</v>
      </c>
      <c r="F37" s="185">
        <v>0</v>
      </c>
      <c r="G37" s="185">
        <v>0</v>
      </c>
      <c r="H37" s="185">
        <v>0</v>
      </c>
      <c r="K37" s="175" t="s">
        <v>45</v>
      </c>
      <c r="L37" s="186">
        <f t="shared" si="32"/>
        <v>0</v>
      </c>
      <c r="M37" s="186">
        <f t="shared" si="20"/>
        <v>0</v>
      </c>
      <c r="N37" s="186">
        <f t="shared" si="20"/>
        <v>0</v>
      </c>
      <c r="O37" s="186">
        <f t="shared" si="20"/>
        <v>0</v>
      </c>
      <c r="P37" s="186">
        <f t="shared" si="20"/>
        <v>0</v>
      </c>
      <c r="R37" s="175" t="s">
        <v>45</v>
      </c>
      <c r="S37" s="187">
        <f t="shared" si="21"/>
        <v>0</v>
      </c>
      <c r="T37" s="187">
        <f t="shared" si="22"/>
        <v>0</v>
      </c>
      <c r="U37" s="187">
        <f t="shared" si="23"/>
        <v>0</v>
      </c>
      <c r="V37" s="187">
        <f t="shared" si="24"/>
        <v>0</v>
      </c>
      <c r="W37" s="187">
        <f t="shared" si="25"/>
        <v>0</v>
      </c>
      <c r="Y37" s="175" t="s">
        <v>47</v>
      </c>
      <c r="Z37" s="186">
        <f t="shared" ref="Z37:AD41" si="33">SUMIFS(D:D,$A:$A,$K$33,$C:$C,$K38)</f>
        <v>42335</v>
      </c>
      <c r="AA37" s="186">
        <f t="shared" si="33"/>
        <v>11</v>
      </c>
      <c r="AB37" s="186">
        <f t="shared" si="33"/>
        <v>0</v>
      </c>
      <c r="AC37" s="186">
        <f t="shared" si="33"/>
        <v>0</v>
      </c>
      <c r="AD37" s="186">
        <f t="shared" si="33"/>
        <v>0</v>
      </c>
      <c r="AF37" s="175" t="s">
        <v>47</v>
      </c>
      <c r="AG37" s="187">
        <f t="shared" si="27"/>
        <v>0.10231554321372553</v>
      </c>
      <c r="AH37" s="187">
        <f t="shared" si="28"/>
        <v>2.9779630732578919E-4</v>
      </c>
      <c r="AI37" s="187">
        <f t="shared" si="29"/>
        <v>0</v>
      </c>
      <c r="AJ37" s="187">
        <f t="shared" si="30"/>
        <v>0</v>
      </c>
      <c r="AK37" s="187">
        <f t="shared" si="31"/>
        <v>0</v>
      </c>
    </row>
    <row r="38" spans="1:37" ht="15" x14ac:dyDescent="0.25">
      <c r="A38" s="183" t="s">
        <v>378</v>
      </c>
      <c r="B38" s="286" t="s">
        <v>412</v>
      </c>
      <c r="C38" s="189" t="s">
        <v>392</v>
      </c>
      <c r="D38" s="188">
        <v>0</v>
      </c>
      <c r="E38" s="188">
        <v>0</v>
      </c>
      <c r="F38" s="188">
        <v>0</v>
      </c>
      <c r="G38" s="188">
        <v>0</v>
      </c>
      <c r="H38" s="188">
        <v>0</v>
      </c>
      <c r="K38" s="175" t="s">
        <v>47</v>
      </c>
      <c r="L38" s="186">
        <f t="shared" si="32"/>
        <v>42335</v>
      </c>
      <c r="M38" s="186">
        <f t="shared" si="20"/>
        <v>11</v>
      </c>
      <c r="N38" s="186">
        <f t="shared" si="20"/>
        <v>0</v>
      </c>
      <c r="O38" s="186">
        <f t="shared" si="20"/>
        <v>0</v>
      </c>
      <c r="P38" s="186">
        <f t="shared" si="20"/>
        <v>0</v>
      </c>
      <c r="R38" s="175" t="s">
        <v>47</v>
      </c>
      <c r="S38" s="187">
        <f t="shared" si="21"/>
        <v>0.10230688925191636</v>
      </c>
      <c r="T38" s="187">
        <f t="shared" si="22"/>
        <v>2.9733747803757264E-4</v>
      </c>
      <c r="U38" s="187">
        <f t="shared" si="23"/>
        <v>0</v>
      </c>
      <c r="V38" s="187">
        <f t="shared" si="24"/>
        <v>0</v>
      </c>
      <c r="W38" s="187">
        <f t="shared" si="25"/>
        <v>0</v>
      </c>
      <c r="Y38" s="175" t="s">
        <v>48</v>
      </c>
      <c r="Z38" s="186">
        <f t="shared" si="33"/>
        <v>17823</v>
      </c>
      <c r="AA38" s="186">
        <f t="shared" si="33"/>
        <v>0</v>
      </c>
      <c r="AB38" s="186">
        <f t="shared" si="33"/>
        <v>0</v>
      </c>
      <c r="AC38" s="186">
        <f t="shared" si="33"/>
        <v>0</v>
      </c>
      <c r="AD38" s="186">
        <f t="shared" si="33"/>
        <v>2241.2579999999998</v>
      </c>
      <c r="AF38" s="175" t="s">
        <v>48</v>
      </c>
      <c r="AG38" s="187">
        <f t="shared" si="27"/>
        <v>4.307475910471785E-2</v>
      </c>
      <c r="AH38" s="187">
        <f t="shared" si="28"/>
        <v>0</v>
      </c>
      <c r="AI38" s="187">
        <f t="shared" si="29"/>
        <v>0</v>
      </c>
      <c r="AJ38" s="187">
        <f t="shared" si="30"/>
        <v>0</v>
      </c>
      <c r="AK38" s="187">
        <f t="shared" si="31"/>
        <v>0.27940589262898408</v>
      </c>
    </row>
    <row r="39" spans="1:37" ht="15" x14ac:dyDescent="0.25">
      <c r="A39" s="183" t="s">
        <v>378</v>
      </c>
      <c r="B39" s="286" t="s">
        <v>413</v>
      </c>
      <c r="C39" s="184" t="s">
        <v>49</v>
      </c>
      <c r="D39" s="185">
        <v>1825.2</v>
      </c>
      <c r="E39" s="185">
        <v>324.36</v>
      </c>
      <c r="F39" s="185">
        <v>602.428</v>
      </c>
      <c r="G39" s="185">
        <v>123.901</v>
      </c>
      <c r="H39" s="185">
        <v>0</v>
      </c>
      <c r="K39" s="175" t="s">
        <v>48</v>
      </c>
      <c r="L39" s="186">
        <f t="shared" si="32"/>
        <v>17823</v>
      </c>
      <c r="M39" s="186">
        <f t="shared" si="20"/>
        <v>0</v>
      </c>
      <c r="N39" s="186">
        <f t="shared" si="20"/>
        <v>0</v>
      </c>
      <c r="O39" s="186">
        <f t="shared" si="20"/>
        <v>0</v>
      </c>
      <c r="P39" s="186">
        <f t="shared" si="20"/>
        <v>2241.2579999999998</v>
      </c>
      <c r="R39" s="175" t="s">
        <v>48</v>
      </c>
      <c r="S39" s="187">
        <f t="shared" si="21"/>
        <v>4.3071115793950759E-2</v>
      </c>
      <c r="T39" s="187">
        <f t="shared" si="22"/>
        <v>0</v>
      </c>
      <c r="U39" s="187">
        <f t="shared" si="23"/>
        <v>0</v>
      </c>
      <c r="V39" s="187">
        <f t="shared" si="24"/>
        <v>0</v>
      </c>
      <c r="W39" s="187">
        <f t="shared" si="25"/>
        <v>0.27940589262898408</v>
      </c>
      <c r="Y39" s="175" t="s">
        <v>20</v>
      </c>
      <c r="Z39" s="186">
        <f t="shared" si="33"/>
        <v>212118</v>
      </c>
      <c r="AA39" s="186">
        <f t="shared" si="33"/>
        <v>4340</v>
      </c>
      <c r="AB39" s="186">
        <f t="shared" si="33"/>
        <v>24928.34</v>
      </c>
      <c r="AC39" s="186">
        <f t="shared" si="33"/>
        <v>8865.107</v>
      </c>
      <c r="AD39" s="186">
        <f t="shared" si="33"/>
        <v>3700.3240000000001</v>
      </c>
      <c r="AF39" s="175" t="s">
        <v>20</v>
      </c>
      <c r="AG39" s="187">
        <f t="shared" si="27"/>
        <v>0.51264836176707296</v>
      </c>
      <c r="AH39" s="187">
        <f t="shared" si="28"/>
        <v>0.11749417943581136</v>
      </c>
      <c r="AI39" s="187">
        <f t="shared" si="29"/>
        <v>0.30587354473240802</v>
      </c>
      <c r="AJ39" s="187">
        <f t="shared" si="30"/>
        <v>0.97282327794800294</v>
      </c>
      <c r="AK39" s="187">
        <f t="shared" si="31"/>
        <v>0.46130000661969883</v>
      </c>
    </row>
    <row r="40" spans="1:37" ht="15" x14ac:dyDescent="0.25">
      <c r="A40" s="183" t="s">
        <v>378</v>
      </c>
      <c r="B40" s="286" t="s">
        <v>414</v>
      </c>
      <c r="C40" s="189" t="s">
        <v>392</v>
      </c>
      <c r="D40" s="188">
        <v>0</v>
      </c>
      <c r="E40" s="188">
        <v>0</v>
      </c>
      <c r="F40" s="188">
        <v>0</v>
      </c>
      <c r="G40" s="188">
        <v>0</v>
      </c>
      <c r="H40" s="188">
        <v>0</v>
      </c>
      <c r="K40" s="175" t="s">
        <v>20</v>
      </c>
      <c r="L40" s="186">
        <f t="shared" si="32"/>
        <v>212118</v>
      </c>
      <c r="M40" s="186">
        <f t="shared" si="20"/>
        <v>4340</v>
      </c>
      <c r="N40" s="186">
        <f t="shared" si="20"/>
        <v>24928.34</v>
      </c>
      <c r="O40" s="186">
        <f t="shared" si="20"/>
        <v>8865.107</v>
      </c>
      <c r="P40" s="186">
        <f t="shared" si="20"/>
        <v>3700.3240000000001</v>
      </c>
      <c r="R40" s="175" t="s">
        <v>20</v>
      </c>
      <c r="S40" s="187">
        <f t="shared" si="21"/>
        <v>0.51260500140162979</v>
      </c>
      <c r="T40" s="187">
        <f t="shared" si="22"/>
        <v>0.1173131504257332</v>
      </c>
      <c r="U40" s="187">
        <f t="shared" si="23"/>
        <v>0.30587354473240808</v>
      </c>
      <c r="V40" s="187">
        <f t="shared" si="24"/>
        <v>0.97282327794800294</v>
      </c>
      <c r="W40" s="187">
        <f t="shared" si="25"/>
        <v>0.46130000661969883</v>
      </c>
      <c r="Y40" s="175" t="s">
        <v>49</v>
      </c>
      <c r="Z40" s="186">
        <f t="shared" si="33"/>
        <v>6837</v>
      </c>
      <c r="AA40" s="186">
        <f t="shared" si="33"/>
        <v>218</v>
      </c>
      <c r="AB40" s="186">
        <f t="shared" si="33"/>
        <v>2722.46</v>
      </c>
      <c r="AC40" s="186">
        <f t="shared" si="33"/>
        <v>247.655</v>
      </c>
      <c r="AD40" s="186">
        <f t="shared" si="33"/>
        <v>68.592999999999989</v>
      </c>
      <c r="AF40" s="175" t="s">
        <v>49</v>
      </c>
      <c r="AG40" s="187">
        <f t="shared" si="27"/>
        <v>1.652371250625349E-2</v>
      </c>
      <c r="AH40" s="187">
        <f t="shared" si="28"/>
        <v>5.9017813633656397E-3</v>
      </c>
      <c r="AI40" s="187">
        <f t="shared" si="29"/>
        <v>3.3404891404409262E-2</v>
      </c>
      <c r="AJ40" s="187">
        <f t="shared" si="30"/>
        <v>2.7176722051996966E-2</v>
      </c>
      <c r="AK40" s="187">
        <f t="shared" si="31"/>
        <v>8.5511299426928554E-3</v>
      </c>
    </row>
    <row r="41" spans="1:37" ht="15" x14ac:dyDescent="0.25">
      <c r="A41" s="183" t="s">
        <v>378</v>
      </c>
      <c r="B41" s="286" t="s">
        <v>415</v>
      </c>
      <c r="C41" s="184" t="s">
        <v>49</v>
      </c>
      <c r="D41" s="185">
        <v>1098</v>
      </c>
      <c r="E41" s="185">
        <v>0</v>
      </c>
      <c r="F41" s="185">
        <v>0</v>
      </c>
      <c r="G41" s="185">
        <v>0</v>
      </c>
      <c r="H41" s="185">
        <v>6.12</v>
      </c>
      <c r="K41" s="175" t="s">
        <v>49</v>
      </c>
      <c r="L41" s="186">
        <f t="shared" si="32"/>
        <v>6837</v>
      </c>
      <c r="M41" s="186">
        <f t="shared" si="20"/>
        <v>218</v>
      </c>
      <c r="N41" s="186">
        <f t="shared" si="20"/>
        <v>2722.46</v>
      </c>
      <c r="O41" s="186">
        <f t="shared" si="20"/>
        <v>247.655</v>
      </c>
      <c r="P41" s="186">
        <f t="shared" si="20"/>
        <v>68.592999999999989</v>
      </c>
      <c r="R41" s="175" t="s">
        <v>49</v>
      </c>
      <c r="S41" s="187">
        <f t="shared" si="21"/>
        <v>1.6522314912373975E-2</v>
      </c>
      <c r="T41" s="187">
        <f t="shared" si="22"/>
        <v>5.8926882011082577E-3</v>
      </c>
      <c r="U41" s="187">
        <f t="shared" si="23"/>
        <v>3.3404891404409269E-2</v>
      </c>
      <c r="V41" s="187">
        <f t="shared" si="24"/>
        <v>2.7176722051996966E-2</v>
      </c>
      <c r="W41" s="187">
        <f t="shared" si="25"/>
        <v>8.5511299426928554E-3</v>
      </c>
      <c r="Y41" s="175" t="s">
        <v>50</v>
      </c>
      <c r="Z41" s="186">
        <f t="shared" si="33"/>
        <v>44201</v>
      </c>
      <c r="AA41" s="186">
        <f t="shared" si="33"/>
        <v>1216</v>
      </c>
      <c r="AB41" s="186">
        <f t="shared" si="33"/>
        <v>6313.52</v>
      </c>
      <c r="AC41" s="186">
        <f t="shared" si="33"/>
        <v>0</v>
      </c>
      <c r="AD41" s="186">
        <f t="shared" si="33"/>
        <v>142.256</v>
      </c>
      <c r="AF41" s="175" t="s">
        <v>50</v>
      </c>
      <c r="AG41" s="187">
        <f t="shared" si="27"/>
        <v>0.10682530590740244</v>
      </c>
      <c r="AH41" s="187">
        <f t="shared" si="28"/>
        <v>3.2920028155287238E-2</v>
      </c>
      <c r="AI41" s="187">
        <f t="shared" si="29"/>
        <v>7.7467602822287915E-2</v>
      </c>
      <c r="AJ41" s="187">
        <f t="shared" si="30"/>
        <v>0</v>
      </c>
      <c r="AK41" s="187">
        <f t="shared" si="31"/>
        <v>1.7734310223021518E-2</v>
      </c>
    </row>
    <row r="42" spans="1:37" ht="15" x14ac:dyDescent="0.25">
      <c r="A42" s="183" t="s">
        <v>378</v>
      </c>
      <c r="B42" s="286" t="s">
        <v>416</v>
      </c>
      <c r="C42" s="189" t="s">
        <v>392</v>
      </c>
      <c r="D42" s="188">
        <v>0</v>
      </c>
      <c r="E42" s="188">
        <v>0</v>
      </c>
      <c r="F42" s="188">
        <v>0</v>
      </c>
      <c r="G42" s="188">
        <v>0</v>
      </c>
      <c r="H42" s="188">
        <v>0</v>
      </c>
      <c r="K42" s="175" t="s">
        <v>50</v>
      </c>
      <c r="L42" s="186">
        <f t="shared" si="32"/>
        <v>44201</v>
      </c>
      <c r="M42" s="186">
        <f t="shared" si="20"/>
        <v>1216</v>
      </c>
      <c r="N42" s="186">
        <f t="shared" si="20"/>
        <v>6313.52</v>
      </c>
      <c r="O42" s="186">
        <f t="shared" si="20"/>
        <v>0</v>
      </c>
      <c r="P42" s="186">
        <f t="shared" si="20"/>
        <v>142.256</v>
      </c>
      <c r="R42" s="175" t="s">
        <v>50</v>
      </c>
      <c r="S42" s="187">
        <f t="shared" si="21"/>
        <v>0.1068162705048767</v>
      </c>
      <c r="T42" s="187">
        <f t="shared" si="22"/>
        <v>3.2869306663062578E-2</v>
      </c>
      <c r="U42" s="187">
        <f t="shared" si="23"/>
        <v>7.7467602822287929E-2</v>
      </c>
      <c r="V42" s="187">
        <f t="shared" si="24"/>
        <v>0</v>
      </c>
      <c r="W42" s="187">
        <f t="shared" si="25"/>
        <v>1.7734310223021518E-2</v>
      </c>
      <c r="Y42" s="175" t="s">
        <v>39</v>
      </c>
      <c r="Z42" s="186">
        <f>SUMIFS(D:D,$A:$A,$K$33,$C:$C,$K46)</f>
        <v>0</v>
      </c>
      <c r="AA42" s="186">
        <f>SUMIFS(E:E,$A:$A,$K$33,$C:$C,$K46)</f>
        <v>2</v>
      </c>
      <c r="AB42" s="186">
        <f>SUMIFS(F:F,$A:$A,$K$33,$C:$C,$K46)</f>
        <v>20.940999999999999</v>
      </c>
      <c r="AC42" s="186">
        <f>SUMIFS(G:G,$A:$A,$K$33,$C:$C,$K46)</f>
        <v>0</v>
      </c>
      <c r="AD42" s="186">
        <f>SUMIFS(H:H,$A:$A,$K$33,$C:$C,$K46)</f>
        <v>0</v>
      </c>
      <c r="AF42" s="175" t="s">
        <v>39</v>
      </c>
      <c r="AG42" s="187">
        <f t="shared" si="27"/>
        <v>0</v>
      </c>
      <c r="AH42" s="187">
        <f t="shared" si="28"/>
        <v>5.4144783150143485E-5</v>
      </c>
      <c r="AI42" s="187">
        <f t="shared" si="29"/>
        <v>2.5694843299799971E-4</v>
      </c>
      <c r="AJ42" s="187">
        <f t="shared" si="30"/>
        <v>0</v>
      </c>
      <c r="AK42" s="187">
        <f t="shared" si="31"/>
        <v>0</v>
      </c>
    </row>
    <row r="43" spans="1:37" ht="15" x14ac:dyDescent="0.25">
      <c r="A43" s="183" t="s">
        <v>378</v>
      </c>
      <c r="B43" s="286" t="s">
        <v>417</v>
      </c>
      <c r="C43" s="184" t="s">
        <v>392</v>
      </c>
      <c r="D43" s="185">
        <v>0</v>
      </c>
      <c r="E43" s="185">
        <v>0</v>
      </c>
      <c r="F43" s="185">
        <v>0</v>
      </c>
      <c r="G43" s="185">
        <v>0</v>
      </c>
      <c r="H43" s="185">
        <v>0</v>
      </c>
      <c r="K43" s="175" t="s">
        <v>51</v>
      </c>
      <c r="L43" s="186">
        <f t="shared" si="32"/>
        <v>0</v>
      </c>
      <c r="M43" s="186">
        <f t="shared" si="20"/>
        <v>0</v>
      </c>
      <c r="N43" s="186">
        <f t="shared" si="20"/>
        <v>0</v>
      </c>
      <c r="O43" s="186">
        <f t="shared" si="20"/>
        <v>0</v>
      </c>
      <c r="P43" s="186">
        <f t="shared" si="20"/>
        <v>0</v>
      </c>
      <c r="R43" s="175" t="s">
        <v>51</v>
      </c>
      <c r="S43" s="187">
        <f t="shared" si="21"/>
        <v>0</v>
      </c>
      <c r="T43" s="187">
        <f t="shared" si="22"/>
        <v>0</v>
      </c>
      <c r="U43" s="187">
        <f t="shared" si="23"/>
        <v>0</v>
      </c>
      <c r="V43" s="187">
        <f t="shared" si="24"/>
        <v>0</v>
      </c>
      <c r="W43" s="187">
        <f t="shared" si="25"/>
        <v>0</v>
      </c>
      <c r="Y43" s="175" t="s">
        <v>60</v>
      </c>
      <c r="Z43" s="186">
        <f t="shared" ref="Z43:AD44" si="34">SUMIFS(D:D,$A:$A,$K$33,$C:$C,$K48)</f>
        <v>3115</v>
      </c>
      <c r="AA43" s="186">
        <f t="shared" si="34"/>
        <v>0</v>
      </c>
      <c r="AB43" s="186">
        <f t="shared" si="34"/>
        <v>667.10699999999997</v>
      </c>
      <c r="AC43" s="186">
        <f t="shared" si="34"/>
        <v>0</v>
      </c>
      <c r="AD43" s="186">
        <f t="shared" si="34"/>
        <v>37.811999999999998</v>
      </c>
      <c r="AF43" s="175" t="s">
        <v>60</v>
      </c>
      <c r="AG43" s="187">
        <f t="shared" si="27"/>
        <v>7.5283551933566801E-3</v>
      </c>
      <c r="AH43" s="187">
        <f t="shared" si="28"/>
        <v>0</v>
      </c>
      <c r="AI43" s="187">
        <f t="shared" si="29"/>
        <v>8.185478166849558E-3</v>
      </c>
      <c r="AJ43" s="187">
        <f t="shared" si="30"/>
        <v>0</v>
      </c>
      <c r="AK43" s="187">
        <f t="shared" si="31"/>
        <v>4.7138239382021815E-3</v>
      </c>
    </row>
    <row r="44" spans="1:37" ht="15" x14ac:dyDescent="0.25">
      <c r="A44" s="183" t="s">
        <v>378</v>
      </c>
      <c r="B44" s="286" t="s">
        <v>418</v>
      </c>
      <c r="C44" s="189" t="s">
        <v>392</v>
      </c>
      <c r="D44" s="188">
        <v>0</v>
      </c>
      <c r="E44" s="188">
        <v>0</v>
      </c>
      <c r="F44" s="188">
        <v>0</v>
      </c>
      <c r="G44" s="188">
        <v>0</v>
      </c>
      <c r="H44" s="188">
        <v>0</v>
      </c>
      <c r="K44" s="175" t="s">
        <v>52</v>
      </c>
      <c r="L44" s="186">
        <f t="shared" si="32"/>
        <v>0</v>
      </c>
      <c r="M44" s="186">
        <f t="shared" si="20"/>
        <v>0</v>
      </c>
      <c r="N44" s="186">
        <f t="shared" si="20"/>
        <v>0</v>
      </c>
      <c r="O44" s="186">
        <f t="shared" si="20"/>
        <v>0</v>
      </c>
      <c r="P44" s="186">
        <f t="shared" si="20"/>
        <v>0</v>
      </c>
      <c r="R44" s="175" t="s">
        <v>52</v>
      </c>
      <c r="S44" s="187">
        <f t="shared" si="21"/>
        <v>0</v>
      </c>
      <c r="T44" s="187">
        <f t="shared" si="22"/>
        <v>0</v>
      </c>
      <c r="U44" s="187">
        <f t="shared" si="23"/>
        <v>0</v>
      </c>
      <c r="V44" s="187">
        <f t="shared" si="24"/>
        <v>0</v>
      </c>
      <c r="W44" s="187">
        <f t="shared" si="25"/>
        <v>0</v>
      </c>
      <c r="Y44" s="175" t="s">
        <v>61</v>
      </c>
      <c r="Z44" s="186">
        <f t="shared" si="34"/>
        <v>139</v>
      </c>
      <c r="AA44" s="186">
        <f t="shared" si="34"/>
        <v>0</v>
      </c>
      <c r="AB44" s="186">
        <f t="shared" si="34"/>
        <v>138.404</v>
      </c>
      <c r="AC44" s="186">
        <f t="shared" si="34"/>
        <v>0</v>
      </c>
      <c r="AD44" s="186">
        <f t="shared" si="34"/>
        <v>0</v>
      </c>
      <c r="AF44" s="175" t="s">
        <v>61</v>
      </c>
      <c r="AG44" s="187">
        <f t="shared" si="27"/>
        <v>3.3593623495235266E-4</v>
      </c>
      <c r="AH44" s="187">
        <f t="shared" si="28"/>
        <v>0</v>
      </c>
      <c r="AI44" s="187">
        <f t="shared" si="29"/>
        <v>1.6982326976101977E-3</v>
      </c>
      <c r="AJ44" s="187">
        <f t="shared" si="30"/>
        <v>0</v>
      </c>
      <c r="AK44" s="187">
        <f t="shared" si="31"/>
        <v>0</v>
      </c>
    </row>
    <row r="45" spans="1:37" ht="15" x14ac:dyDescent="0.25">
      <c r="A45" s="183" t="s">
        <v>378</v>
      </c>
      <c r="B45" s="286" t="s">
        <v>419</v>
      </c>
      <c r="C45" s="184" t="s">
        <v>392</v>
      </c>
      <c r="D45" s="185">
        <v>0</v>
      </c>
      <c r="E45" s="185">
        <v>0</v>
      </c>
      <c r="F45" s="185">
        <v>0</v>
      </c>
      <c r="G45" s="185">
        <v>0</v>
      </c>
      <c r="H45" s="185">
        <v>0</v>
      </c>
      <c r="K45" s="175" t="s">
        <v>53</v>
      </c>
      <c r="L45" s="186">
        <f t="shared" si="32"/>
        <v>0</v>
      </c>
      <c r="M45" s="186">
        <f t="shared" si="20"/>
        <v>0</v>
      </c>
      <c r="N45" s="186">
        <f t="shared" si="20"/>
        <v>0</v>
      </c>
      <c r="O45" s="186">
        <f t="shared" si="20"/>
        <v>0</v>
      </c>
      <c r="P45" s="186">
        <f t="shared" si="20"/>
        <v>0</v>
      </c>
      <c r="R45" s="175" t="s">
        <v>53</v>
      </c>
      <c r="S45" s="187">
        <f t="shared" si="21"/>
        <v>0</v>
      </c>
      <c r="T45" s="187">
        <f t="shared" si="22"/>
        <v>0</v>
      </c>
      <c r="U45" s="187">
        <f t="shared" si="23"/>
        <v>0</v>
      </c>
      <c r="V45" s="187">
        <f t="shared" si="24"/>
        <v>0</v>
      </c>
      <c r="W45" s="187">
        <f t="shared" si="25"/>
        <v>0</v>
      </c>
      <c r="Y45" s="175" t="s">
        <v>62</v>
      </c>
      <c r="Z45" s="186">
        <f>SUMIFS(D:D,$A:$A,$K$33,$C:$C,$K47)</f>
        <v>5945</v>
      </c>
      <c r="AA45" s="186">
        <f>SUMIFS(E:E,$A:$A,$K$33,$C:$C,$K47)</f>
        <v>5983</v>
      </c>
      <c r="AB45" s="186">
        <f>SUMIFS(F:F,$A:$A,$K$33,$C:$C,$K47)+N52</f>
        <v>1163.2149999999999</v>
      </c>
      <c r="AC45" s="186">
        <f>SUMIFS(G:G,$A:$A,$K$33,$C:$C,$K47)</f>
        <v>0</v>
      </c>
      <c r="AD45" s="186">
        <f>SUMIFS(H:H,$A:$A,$K$33,$C:$C,$K47)</f>
        <v>0</v>
      </c>
      <c r="AF45" s="175" t="s">
        <v>62</v>
      </c>
      <c r="AG45" s="187">
        <f t="shared" si="27"/>
        <v>1.4367920264688751E-2</v>
      </c>
      <c r="AH45" s="187">
        <f t="shared" si="28"/>
        <v>0.16197411879365423</v>
      </c>
      <c r="AI45" s="187">
        <f t="shared" si="29"/>
        <v>1.4272779308044898E-2</v>
      </c>
      <c r="AJ45" s="187">
        <f t="shared" si="30"/>
        <v>0</v>
      </c>
      <c r="AK45" s="187">
        <f t="shared" si="31"/>
        <v>0</v>
      </c>
    </row>
    <row r="46" spans="1:37" ht="15" x14ac:dyDescent="0.25">
      <c r="A46" s="183" t="s">
        <v>378</v>
      </c>
      <c r="B46" s="286" t="s">
        <v>420</v>
      </c>
      <c r="C46" s="189" t="s">
        <v>392</v>
      </c>
      <c r="D46" s="188">
        <v>0</v>
      </c>
      <c r="E46" s="188">
        <v>0</v>
      </c>
      <c r="F46" s="188">
        <v>0</v>
      </c>
      <c r="G46" s="188">
        <v>0</v>
      </c>
      <c r="H46" s="188">
        <v>0</v>
      </c>
      <c r="K46" s="175" t="s">
        <v>39</v>
      </c>
      <c r="L46" s="186">
        <f t="shared" si="32"/>
        <v>0</v>
      </c>
      <c r="M46" s="186">
        <f t="shared" si="20"/>
        <v>2</v>
      </c>
      <c r="N46" s="186">
        <f t="shared" si="20"/>
        <v>20.940999999999999</v>
      </c>
      <c r="O46" s="186">
        <f t="shared" si="20"/>
        <v>0</v>
      </c>
      <c r="P46" s="186">
        <f t="shared" si="20"/>
        <v>0</v>
      </c>
      <c r="R46" s="175" t="s">
        <v>39</v>
      </c>
      <c r="S46" s="187">
        <f t="shared" si="21"/>
        <v>0</v>
      </c>
      <c r="T46" s="187">
        <f t="shared" si="22"/>
        <v>5.4061359643195029E-5</v>
      </c>
      <c r="U46" s="187">
        <f t="shared" si="23"/>
        <v>2.5694843299799977E-4</v>
      </c>
      <c r="V46" s="187">
        <f t="shared" si="24"/>
        <v>0</v>
      </c>
      <c r="W46" s="187">
        <f t="shared" si="25"/>
        <v>0</v>
      </c>
      <c r="Y46" s="175" t="s">
        <v>54</v>
      </c>
      <c r="Z46" s="186">
        <f>SUM(Z35:Z45)</f>
        <v>413769</v>
      </c>
      <c r="AA46" s="186">
        <f>SUM(AA35:AA45)</f>
        <v>36938</v>
      </c>
      <c r="AB46" s="186">
        <f>SUM(AB35:AB45)</f>
        <v>81498.843000000008</v>
      </c>
      <c r="AC46" s="186">
        <f>SUM(AC35:AC45)</f>
        <v>9112.7620000000006</v>
      </c>
      <c r="AD46" s="186">
        <f>SUM(AD35:AD45)</f>
        <v>8021.5129999999999</v>
      </c>
      <c r="AF46" s="175" t="s">
        <v>54</v>
      </c>
      <c r="AG46" s="187">
        <f t="shared" si="27"/>
        <v>1</v>
      </c>
      <c r="AH46" s="187">
        <f t="shared" si="28"/>
        <v>1</v>
      </c>
      <c r="AI46" s="187">
        <f t="shared" si="29"/>
        <v>1</v>
      </c>
      <c r="AJ46" s="187">
        <f t="shared" si="30"/>
        <v>1</v>
      </c>
      <c r="AK46" s="187">
        <f t="shared" si="31"/>
        <v>1</v>
      </c>
    </row>
    <row r="47" spans="1:37" ht="15" x14ac:dyDescent="0.25">
      <c r="A47" s="183" t="s">
        <v>378</v>
      </c>
      <c r="B47" s="286" t="s">
        <v>421</v>
      </c>
      <c r="C47" s="184" t="s">
        <v>392</v>
      </c>
      <c r="D47" s="185">
        <v>0</v>
      </c>
      <c r="E47" s="185">
        <v>0</v>
      </c>
      <c r="F47" s="185">
        <v>0</v>
      </c>
      <c r="G47" s="185">
        <v>0</v>
      </c>
      <c r="H47" s="185">
        <v>0</v>
      </c>
      <c r="K47" s="175" t="s">
        <v>62</v>
      </c>
      <c r="L47" s="186">
        <f t="shared" si="32"/>
        <v>5945</v>
      </c>
      <c r="M47" s="186">
        <f t="shared" si="20"/>
        <v>5983</v>
      </c>
      <c r="N47" s="186">
        <f t="shared" si="20"/>
        <v>0</v>
      </c>
      <c r="O47" s="186">
        <f t="shared" si="20"/>
        <v>0</v>
      </c>
      <c r="P47" s="186">
        <f t="shared" si="20"/>
        <v>0</v>
      </c>
      <c r="R47" s="175" t="s">
        <v>62</v>
      </c>
      <c r="S47" s="187">
        <f t="shared" si="21"/>
        <v>1.4366705010101401E-2</v>
      </c>
      <c r="T47" s="187">
        <f t="shared" si="22"/>
        <v>0.16172455737261793</v>
      </c>
      <c r="U47" s="187">
        <f t="shared" si="23"/>
        <v>0</v>
      </c>
      <c r="V47" s="187">
        <f t="shared" si="24"/>
        <v>0</v>
      </c>
      <c r="W47" s="187">
        <f t="shared" si="25"/>
        <v>0</v>
      </c>
      <c r="Y47" s="190"/>
      <c r="Z47" s="191"/>
      <c r="AA47" s="191"/>
      <c r="AB47" s="191"/>
      <c r="AC47" s="191"/>
      <c r="AD47" s="191"/>
      <c r="AF47" s="190" t="s">
        <v>396</v>
      </c>
      <c r="AG47" s="192" t="b">
        <f>SUM(AG35:AG45)=AG46</f>
        <v>1</v>
      </c>
      <c r="AH47" s="192" t="b">
        <f t="shared" ref="AH47:AK47" si="35">SUM(AH35:AH45)=AH46</f>
        <v>1</v>
      </c>
      <c r="AI47" s="192" t="b">
        <f t="shared" si="35"/>
        <v>1</v>
      </c>
      <c r="AJ47" s="192" t="b">
        <f t="shared" si="35"/>
        <v>1</v>
      </c>
      <c r="AK47" s="192" t="b">
        <f t="shared" si="35"/>
        <v>1</v>
      </c>
    </row>
    <row r="48" spans="1:37" ht="15" x14ac:dyDescent="0.25">
      <c r="A48" s="183" t="s">
        <v>378</v>
      </c>
      <c r="B48" s="286" t="s">
        <v>422</v>
      </c>
      <c r="C48" s="189" t="s">
        <v>49</v>
      </c>
      <c r="D48" s="188">
        <v>2714.4</v>
      </c>
      <c r="E48" s="188">
        <v>0</v>
      </c>
      <c r="F48" s="188">
        <v>11.185</v>
      </c>
      <c r="G48" s="188">
        <v>261.53300000000002</v>
      </c>
      <c r="H48" s="188">
        <v>24.664000000000001</v>
      </c>
      <c r="K48" s="175" t="s">
        <v>60</v>
      </c>
      <c r="L48" s="186">
        <f t="shared" si="32"/>
        <v>3115</v>
      </c>
      <c r="M48" s="186">
        <f t="shared" si="20"/>
        <v>0</v>
      </c>
      <c r="N48" s="186">
        <f t="shared" si="20"/>
        <v>667.10699999999997</v>
      </c>
      <c r="O48" s="186">
        <f t="shared" si="20"/>
        <v>0</v>
      </c>
      <c r="P48" s="186">
        <f t="shared" si="20"/>
        <v>37.811999999999998</v>
      </c>
      <c r="R48" s="175" t="s">
        <v>60</v>
      </c>
      <c r="S48" s="187">
        <f t="shared" si="21"/>
        <v>7.5277184367478324E-3</v>
      </c>
      <c r="T48" s="187">
        <f t="shared" si="22"/>
        <v>0</v>
      </c>
      <c r="U48" s="187">
        <f t="shared" si="23"/>
        <v>8.1854781668495597E-3</v>
      </c>
      <c r="V48" s="187">
        <f t="shared" si="24"/>
        <v>0</v>
      </c>
      <c r="W48" s="187">
        <f t="shared" si="25"/>
        <v>4.7138239382021815E-3</v>
      </c>
    </row>
    <row r="49" spans="1:23" ht="15" x14ac:dyDescent="0.25">
      <c r="A49" s="183" t="s">
        <v>378</v>
      </c>
      <c r="B49" s="286" t="s">
        <v>19</v>
      </c>
      <c r="C49" s="184" t="s">
        <v>49</v>
      </c>
      <c r="D49" s="185">
        <v>2862</v>
      </c>
      <c r="E49" s="185">
        <v>180.36</v>
      </c>
      <c r="F49" s="185">
        <v>1974.348</v>
      </c>
      <c r="G49" s="185">
        <v>3739.136</v>
      </c>
      <c r="H49" s="185">
        <v>0</v>
      </c>
      <c r="K49" s="175" t="s">
        <v>61</v>
      </c>
      <c r="L49" s="186">
        <f t="shared" si="32"/>
        <v>139</v>
      </c>
      <c r="M49" s="186">
        <f t="shared" si="20"/>
        <v>0</v>
      </c>
      <c r="N49" s="186">
        <f t="shared" si="20"/>
        <v>138.404</v>
      </c>
      <c r="O49" s="186">
        <f t="shared" si="20"/>
        <v>0</v>
      </c>
      <c r="P49" s="186">
        <f t="shared" si="20"/>
        <v>0</v>
      </c>
      <c r="R49" s="175" t="s">
        <v>61</v>
      </c>
      <c r="S49" s="187">
        <f t="shared" si="21"/>
        <v>3.3590782109404452E-4</v>
      </c>
      <c r="T49" s="187">
        <f t="shared" si="22"/>
        <v>0</v>
      </c>
      <c r="U49" s="187">
        <f t="shared" si="23"/>
        <v>1.6982326976101982E-3</v>
      </c>
      <c r="V49" s="187">
        <f t="shared" si="24"/>
        <v>0</v>
      </c>
      <c r="W49" s="187">
        <f t="shared" si="25"/>
        <v>0</v>
      </c>
    </row>
    <row r="50" spans="1:23" ht="15" x14ac:dyDescent="0.25">
      <c r="A50" s="183" t="s">
        <v>378</v>
      </c>
      <c r="B50" s="286" t="s">
        <v>423</v>
      </c>
      <c r="C50" s="189" t="s">
        <v>392</v>
      </c>
      <c r="D50" s="188">
        <v>0</v>
      </c>
      <c r="E50" s="188">
        <v>0</v>
      </c>
      <c r="F50" s="188">
        <v>0</v>
      </c>
      <c r="G50" s="188">
        <v>0</v>
      </c>
      <c r="H50" s="188">
        <v>0</v>
      </c>
      <c r="K50" s="175" t="s">
        <v>400</v>
      </c>
      <c r="L50" s="186">
        <f t="shared" si="32"/>
        <v>0</v>
      </c>
      <c r="M50" s="186">
        <f t="shared" si="20"/>
        <v>0</v>
      </c>
      <c r="N50" s="186">
        <f t="shared" si="20"/>
        <v>0</v>
      </c>
      <c r="O50" s="186">
        <f t="shared" si="20"/>
        <v>0</v>
      </c>
      <c r="P50" s="186">
        <f t="shared" si="20"/>
        <v>0</v>
      </c>
      <c r="R50" s="175" t="s">
        <v>400</v>
      </c>
      <c r="S50" s="187">
        <f t="shared" si="21"/>
        <v>0</v>
      </c>
      <c r="T50" s="187">
        <f t="shared" si="22"/>
        <v>0</v>
      </c>
      <c r="U50" s="187">
        <f t="shared" si="23"/>
        <v>0</v>
      </c>
      <c r="V50" s="187">
        <f t="shared" si="24"/>
        <v>0</v>
      </c>
      <c r="W50" s="187">
        <f t="shared" si="25"/>
        <v>0</v>
      </c>
    </row>
    <row r="51" spans="1:23" ht="15" x14ac:dyDescent="0.25">
      <c r="A51" s="183" t="s">
        <v>378</v>
      </c>
      <c r="B51" s="286" t="s">
        <v>424</v>
      </c>
      <c r="C51" s="184" t="s">
        <v>392</v>
      </c>
      <c r="D51" s="185">
        <v>0</v>
      </c>
      <c r="E51" s="185">
        <v>0</v>
      </c>
      <c r="F51" s="185">
        <v>0</v>
      </c>
      <c r="G51" s="185">
        <v>0</v>
      </c>
      <c r="H51" s="185">
        <v>0</v>
      </c>
      <c r="K51" s="175" t="s">
        <v>402</v>
      </c>
      <c r="L51" s="186">
        <f t="shared" si="32"/>
        <v>0</v>
      </c>
      <c r="M51" s="186">
        <f t="shared" si="32"/>
        <v>57</v>
      </c>
      <c r="N51" s="186">
        <f t="shared" si="32"/>
        <v>0</v>
      </c>
      <c r="O51" s="186">
        <f t="shared" si="32"/>
        <v>0</v>
      </c>
      <c r="P51" s="186">
        <f t="shared" si="32"/>
        <v>0</v>
      </c>
      <c r="R51" s="175" t="s">
        <v>402</v>
      </c>
      <c r="S51" s="187">
        <f t="shared" si="21"/>
        <v>0</v>
      </c>
      <c r="T51" s="187">
        <f t="shared" si="22"/>
        <v>1.5407487498310583E-3</v>
      </c>
      <c r="U51" s="187">
        <f t="shared" si="23"/>
        <v>0</v>
      </c>
      <c r="V51" s="187">
        <f t="shared" si="24"/>
        <v>0</v>
      </c>
      <c r="W51" s="187">
        <f t="shared" si="25"/>
        <v>0</v>
      </c>
    </row>
    <row r="52" spans="1:23" ht="15" x14ac:dyDescent="0.25">
      <c r="A52" s="183" t="s">
        <v>378</v>
      </c>
      <c r="B52" s="286" t="s">
        <v>425</v>
      </c>
      <c r="C52" s="189" t="s">
        <v>392</v>
      </c>
      <c r="D52" s="188">
        <v>0</v>
      </c>
      <c r="E52" s="188">
        <v>0</v>
      </c>
      <c r="F52" s="188">
        <v>0</v>
      </c>
      <c r="G52" s="188">
        <v>0</v>
      </c>
      <c r="H52" s="188">
        <v>0</v>
      </c>
      <c r="K52" s="175" t="s">
        <v>395</v>
      </c>
      <c r="L52" s="186">
        <f t="shared" si="32"/>
        <v>35</v>
      </c>
      <c r="M52" s="186">
        <f t="shared" si="32"/>
        <v>0</v>
      </c>
      <c r="N52" s="186">
        <f t="shared" si="32"/>
        <v>1163.2149999999999</v>
      </c>
      <c r="O52" s="186">
        <f t="shared" si="32"/>
        <v>0</v>
      </c>
      <c r="P52" s="186">
        <f t="shared" si="32"/>
        <v>0</v>
      </c>
      <c r="R52" s="175" t="s">
        <v>395</v>
      </c>
      <c r="S52" s="187">
        <f t="shared" si="21"/>
        <v>8.4581106030874519E-5</v>
      </c>
      <c r="T52" s="187">
        <f t="shared" si="22"/>
        <v>0</v>
      </c>
      <c r="U52" s="187">
        <f t="shared" si="23"/>
        <v>1.4272779308044901E-2</v>
      </c>
      <c r="V52" s="187">
        <f t="shared" si="24"/>
        <v>0</v>
      </c>
      <c r="W52" s="187">
        <f t="shared" si="25"/>
        <v>0</v>
      </c>
    </row>
    <row r="53" spans="1:23" ht="15" x14ac:dyDescent="0.25">
      <c r="A53" s="183" t="s">
        <v>378</v>
      </c>
      <c r="B53" s="286" t="s">
        <v>426</v>
      </c>
      <c r="C53" s="184" t="s">
        <v>49</v>
      </c>
      <c r="D53" s="185">
        <v>446.4</v>
      </c>
      <c r="E53" s="185">
        <v>0</v>
      </c>
      <c r="F53" s="185">
        <v>0</v>
      </c>
      <c r="G53" s="185">
        <v>0</v>
      </c>
      <c r="H53" s="185">
        <v>0</v>
      </c>
      <c r="K53" s="175" t="s">
        <v>54</v>
      </c>
      <c r="L53" s="186">
        <f t="shared" si="32"/>
        <v>413804</v>
      </c>
      <c r="M53" s="186">
        <f t="shared" si="32"/>
        <v>36995</v>
      </c>
      <c r="N53" s="186">
        <f t="shared" si="32"/>
        <v>81498.842999999993</v>
      </c>
      <c r="O53" s="186">
        <f t="shared" si="32"/>
        <v>9112.7620000000006</v>
      </c>
      <c r="P53" s="186">
        <f t="shared" si="32"/>
        <v>8021.5129999999999</v>
      </c>
      <c r="R53" s="175" t="s">
        <v>54</v>
      </c>
      <c r="S53" s="187">
        <f t="shared" si="21"/>
        <v>1</v>
      </c>
      <c r="T53" s="187">
        <f t="shared" si="22"/>
        <v>1</v>
      </c>
      <c r="U53" s="187">
        <f t="shared" si="23"/>
        <v>1</v>
      </c>
      <c r="V53" s="187">
        <f t="shared" si="24"/>
        <v>1</v>
      </c>
      <c r="W53" s="187">
        <f t="shared" si="25"/>
        <v>1</v>
      </c>
    </row>
    <row r="54" spans="1:23" ht="15" x14ac:dyDescent="0.25">
      <c r="A54" s="183" t="s">
        <v>378</v>
      </c>
      <c r="B54" s="286" t="s">
        <v>427</v>
      </c>
      <c r="C54" s="189" t="s">
        <v>392</v>
      </c>
      <c r="D54" s="188">
        <v>0</v>
      </c>
      <c r="E54" s="188">
        <v>0</v>
      </c>
      <c r="F54" s="188">
        <v>0</v>
      </c>
      <c r="G54" s="188">
        <v>0</v>
      </c>
      <c r="H54" s="188">
        <v>0</v>
      </c>
      <c r="K54" s="190" t="s">
        <v>396</v>
      </c>
      <c r="L54" s="191" t="b">
        <f>ROUND(L53,0)=ROUND(D86,0)</f>
        <v>1</v>
      </c>
      <c r="M54" s="191" t="b">
        <f t="shared" ref="M54:P54" si="36">ROUND(M53,0)=ROUND(E86,0)</f>
        <v>1</v>
      </c>
      <c r="N54" s="191" t="b">
        <f t="shared" si="36"/>
        <v>1</v>
      </c>
      <c r="O54" s="191" t="b">
        <f t="shared" si="36"/>
        <v>1</v>
      </c>
      <c r="P54" s="191" t="b">
        <f t="shared" si="36"/>
        <v>1</v>
      </c>
      <c r="R54" s="190" t="s">
        <v>396</v>
      </c>
      <c r="S54" s="192" t="b">
        <f>SUM(S35:S52)=S53</f>
        <v>1</v>
      </c>
      <c r="T54" s="192" t="b">
        <f t="shared" ref="T54:W54" si="37">SUM(T35:T52)=T53</f>
        <v>1</v>
      </c>
      <c r="U54" s="192" t="b">
        <f t="shared" si="37"/>
        <v>1</v>
      </c>
      <c r="V54" s="192" t="b">
        <f t="shared" si="37"/>
        <v>1</v>
      </c>
      <c r="W54" s="192" t="b">
        <f t="shared" si="37"/>
        <v>1</v>
      </c>
    </row>
    <row r="55" spans="1:23" ht="15" x14ac:dyDescent="0.25">
      <c r="A55" s="183" t="s">
        <v>378</v>
      </c>
      <c r="B55" s="286" t="s">
        <v>428</v>
      </c>
      <c r="C55" s="184" t="s">
        <v>49</v>
      </c>
      <c r="D55" s="185">
        <v>7423.2</v>
      </c>
      <c r="E55" s="185">
        <v>0</v>
      </c>
      <c r="F55" s="185">
        <v>0</v>
      </c>
      <c r="G55" s="185">
        <v>0</v>
      </c>
      <c r="H55" s="185">
        <v>0</v>
      </c>
    </row>
    <row r="56" spans="1:23" ht="15" x14ac:dyDescent="0.25">
      <c r="A56" s="183" t="s">
        <v>378</v>
      </c>
      <c r="B56" s="285" t="s">
        <v>429</v>
      </c>
      <c r="C56" s="184" t="s">
        <v>385</v>
      </c>
      <c r="D56" s="188">
        <v>1041901.2</v>
      </c>
      <c r="E56" s="188">
        <v>22539.599999999999</v>
      </c>
      <c r="F56" s="188">
        <v>244003.35200000001</v>
      </c>
      <c r="G56" s="188">
        <v>145271.53400000001</v>
      </c>
      <c r="H56" s="188">
        <v>24731.977999999999</v>
      </c>
    </row>
    <row r="57" spans="1:23" ht="15" x14ac:dyDescent="0.25">
      <c r="A57" s="183" t="s">
        <v>378</v>
      </c>
      <c r="B57" s="286" t="s">
        <v>430</v>
      </c>
      <c r="C57" s="184" t="s">
        <v>51</v>
      </c>
      <c r="D57" s="185">
        <v>85770</v>
      </c>
      <c r="E57" s="185">
        <v>1571.4</v>
      </c>
      <c r="F57" s="185">
        <v>164545.50200000001</v>
      </c>
      <c r="G57" s="185">
        <v>53613.349000000002</v>
      </c>
      <c r="H57" s="185">
        <v>19209.179</v>
      </c>
    </row>
    <row r="58" spans="1:23" ht="15" x14ac:dyDescent="0.25">
      <c r="A58" s="183" t="s">
        <v>378</v>
      </c>
      <c r="B58" s="285" t="s">
        <v>431</v>
      </c>
      <c r="C58" s="189" t="s">
        <v>51</v>
      </c>
      <c r="D58" s="188">
        <v>22860</v>
      </c>
      <c r="E58" s="188">
        <v>2065.3200000000002</v>
      </c>
      <c r="F58" s="188">
        <v>13135.021000000001</v>
      </c>
      <c r="G58" s="188">
        <v>13326.094999999999</v>
      </c>
      <c r="H58" s="188">
        <v>1018.94</v>
      </c>
    </row>
    <row r="59" spans="1:23" ht="15" x14ac:dyDescent="0.25">
      <c r="A59" s="183" t="s">
        <v>378</v>
      </c>
      <c r="B59" s="286" t="s">
        <v>60</v>
      </c>
      <c r="C59" s="184" t="s">
        <v>60</v>
      </c>
      <c r="D59" s="185">
        <v>774</v>
      </c>
      <c r="E59" s="185">
        <v>0</v>
      </c>
      <c r="F59" s="185">
        <v>0</v>
      </c>
      <c r="G59" s="185">
        <v>726.84400000000005</v>
      </c>
      <c r="H59" s="185">
        <v>0</v>
      </c>
    </row>
    <row r="60" spans="1:23" ht="15" x14ac:dyDescent="0.25">
      <c r="A60" s="183" t="s">
        <v>378</v>
      </c>
      <c r="B60" s="286" t="s">
        <v>432</v>
      </c>
      <c r="C60" s="189" t="s">
        <v>52</v>
      </c>
      <c r="D60" s="188">
        <v>500090.4</v>
      </c>
      <c r="E60" s="188">
        <v>12413.52</v>
      </c>
      <c r="F60" s="188">
        <v>33326.718999999997</v>
      </c>
      <c r="G60" s="188">
        <v>51908.262999999999</v>
      </c>
      <c r="H60" s="188">
        <v>23.58</v>
      </c>
    </row>
    <row r="61" spans="1:23" ht="15" x14ac:dyDescent="0.25">
      <c r="A61" s="183" t="s">
        <v>378</v>
      </c>
      <c r="B61" s="286" t="s">
        <v>61</v>
      </c>
      <c r="C61" s="184" t="s">
        <v>392</v>
      </c>
      <c r="D61" s="185">
        <v>0</v>
      </c>
      <c r="E61" s="185">
        <v>0</v>
      </c>
      <c r="F61" s="185">
        <v>0</v>
      </c>
      <c r="G61" s="185">
        <v>0</v>
      </c>
      <c r="H61" s="185">
        <v>0</v>
      </c>
    </row>
    <row r="62" spans="1:23" ht="15" x14ac:dyDescent="0.25">
      <c r="A62" s="183" t="s">
        <v>378</v>
      </c>
      <c r="B62" s="286" t="s">
        <v>433</v>
      </c>
      <c r="C62" s="189" t="s">
        <v>53</v>
      </c>
      <c r="D62" s="188">
        <v>271364.40000000002</v>
      </c>
      <c r="E62" s="188">
        <v>5029.92</v>
      </c>
      <c r="F62" s="188">
        <v>29315.760999999999</v>
      </c>
      <c r="G62" s="188">
        <v>25516.835999999999</v>
      </c>
      <c r="H62" s="188">
        <v>4565.3220000000001</v>
      </c>
    </row>
    <row r="63" spans="1:23" ht="15" x14ac:dyDescent="0.25">
      <c r="A63" s="183" t="s">
        <v>378</v>
      </c>
      <c r="B63" s="286" t="s">
        <v>434</v>
      </c>
      <c r="C63" s="184" t="s">
        <v>392</v>
      </c>
      <c r="D63" s="185">
        <v>0</v>
      </c>
      <c r="E63" s="185">
        <v>0</v>
      </c>
      <c r="F63" s="185">
        <v>0</v>
      </c>
      <c r="G63" s="185">
        <v>0</v>
      </c>
      <c r="H63" s="185">
        <v>0</v>
      </c>
    </row>
    <row r="64" spans="1:23" ht="15" x14ac:dyDescent="0.25">
      <c r="A64" s="183" t="s">
        <v>378</v>
      </c>
      <c r="B64" s="286" t="s">
        <v>435</v>
      </c>
      <c r="C64" s="189" t="s">
        <v>392</v>
      </c>
      <c r="D64" s="188">
        <v>0</v>
      </c>
      <c r="E64" s="188">
        <v>0</v>
      </c>
      <c r="F64" s="188">
        <v>0</v>
      </c>
      <c r="G64" s="188">
        <v>0</v>
      </c>
      <c r="H64" s="188">
        <v>0</v>
      </c>
    </row>
    <row r="65" spans="1:8" ht="15" x14ac:dyDescent="0.25">
      <c r="A65" s="183" t="s">
        <v>378</v>
      </c>
      <c r="B65" s="286" t="s">
        <v>436</v>
      </c>
      <c r="C65" s="184" t="s">
        <v>44</v>
      </c>
      <c r="D65" s="185">
        <v>38890.800000000003</v>
      </c>
      <c r="E65" s="185">
        <v>2252.52</v>
      </c>
      <c r="F65" s="185">
        <v>13132.422</v>
      </c>
      <c r="G65" s="185">
        <v>11339.495999999999</v>
      </c>
      <c r="H65" s="185">
        <v>604.52300000000002</v>
      </c>
    </row>
    <row r="66" spans="1:8" ht="15" x14ac:dyDescent="0.25">
      <c r="A66" s="183" t="s">
        <v>378</v>
      </c>
      <c r="B66" s="286" t="s">
        <v>437</v>
      </c>
      <c r="C66" s="189" t="s">
        <v>392</v>
      </c>
      <c r="D66" s="188">
        <v>0</v>
      </c>
      <c r="E66" s="188">
        <v>0</v>
      </c>
      <c r="F66" s="188">
        <v>0</v>
      </c>
      <c r="G66" s="188">
        <v>0</v>
      </c>
      <c r="H66" s="188">
        <v>0</v>
      </c>
    </row>
    <row r="67" spans="1:8" ht="15" x14ac:dyDescent="0.25">
      <c r="A67" s="183" t="s">
        <v>378</v>
      </c>
      <c r="B67" s="286" t="s">
        <v>438</v>
      </c>
      <c r="C67" s="184" t="s">
        <v>392</v>
      </c>
      <c r="D67" s="185">
        <v>0</v>
      </c>
      <c r="E67" s="185">
        <v>0</v>
      </c>
      <c r="F67" s="185">
        <v>0</v>
      </c>
      <c r="G67" s="185">
        <v>0</v>
      </c>
      <c r="H67" s="185">
        <v>0</v>
      </c>
    </row>
    <row r="68" spans="1:8" ht="15" x14ac:dyDescent="0.25">
      <c r="A68" s="183" t="s">
        <v>378</v>
      </c>
      <c r="B68" s="286" t="s">
        <v>439</v>
      </c>
      <c r="C68" s="189" t="s">
        <v>392</v>
      </c>
      <c r="D68" s="188">
        <v>0</v>
      </c>
      <c r="E68" s="188">
        <v>0</v>
      </c>
      <c r="F68" s="188">
        <v>0</v>
      </c>
      <c r="G68" s="188">
        <v>0</v>
      </c>
      <c r="H68" s="188">
        <v>0</v>
      </c>
    </row>
    <row r="69" spans="1:8" ht="15" x14ac:dyDescent="0.25">
      <c r="A69" s="183" t="s">
        <v>378</v>
      </c>
      <c r="B69" s="286" t="s">
        <v>440</v>
      </c>
      <c r="C69" s="184" t="s">
        <v>44</v>
      </c>
      <c r="D69" s="185">
        <v>0</v>
      </c>
      <c r="E69" s="185">
        <v>0</v>
      </c>
      <c r="F69" s="185">
        <v>0</v>
      </c>
      <c r="G69" s="185">
        <v>0</v>
      </c>
      <c r="H69" s="185">
        <v>24.940999999999999</v>
      </c>
    </row>
    <row r="70" spans="1:8" ht="15" x14ac:dyDescent="0.25">
      <c r="A70" s="183" t="s">
        <v>378</v>
      </c>
      <c r="B70" s="286" t="s">
        <v>441</v>
      </c>
      <c r="C70" s="189" t="s">
        <v>392</v>
      </c>
      <c r="D70" s="188">
        <v>0</v>
      </c>
      <c r="E70" s="188">
        <v>0</v>
      </c>
      <c r="F70" s="188">
        <v>0</v>
      </c>
      <c r="G70" s="188">
        <v>0</v>
      </c>
      <c r="H70" s="188">
        <v>0</v>
      </c>
    </row>
    <row r="71" spans="1:8" ht="15" x14ac:dyDescent="0.25">
      <c r="A71" s="183" t="s">
        <v>378</v>
      </c>
      <c r="B71" s="286" t="s">
        <v>442</v>
      </c>
      <c r="C71" s="184" t="s">
        <v>392</v>
      </c>
      <c r="D71" s="185">
        <v>0</v>
      </c>
      <c r="E71" s="185">
        <v>0</v>
      </c>
      <c r="F71" s="185">
        <v>0</v>
      </c>
      <c r="G71" s="185">
        <v>0</v>
      </c>
      <c r="H71" s="185">
        <v>0</v>
      </c>
    </row>
    <row r="72" spans="1:8" ht="15" x14ac:dyDescent="0.25">
      <c r="A72" s="183" t="s">
        <v>378</v>
      </c>
      <c r="B72" s="286" t="s">
        <v>443</v>
      </c>
      <c r="C72" s="189" t="s">
        <v>392</v>
      </c>
      <c r="D72" s="188">
        <v>0</v>
      </c>
      <c r="E72" s="188">
        <v>0</v>
      </c>
      <c r="F72" s="188">
        <v>0</v>
      </c>
      <c r="G72" s="188">
        <v>0</v>
      </c>
      <c r="H72" s="188">
        <v>0</v>
      </c>
    </row>
    <row r="73" spans="1:8" ht="15" x14ac:dyDescent="0.25">
      <c r="A73" s="183" t="s">
        <v>378</v>
      </c>
      <c r="B73" s="286" t="s">
        <v>444</v>
      </c>
      <c r="C73" s="184" t="s">
        <v>44</v>
      </c>
      <c r="D73" s="185">
        <v>658.8</v>
      </c>
      <c r="E73" s="185">
        <v>0</v>
      </c>
      <c r="F73" s="185">
        <v>6.8000000000000005E-2</v>
      </c>
      <c r="G73" s="185">
        <v>0</v>
      </c>
      <c r="H73" s="185">
        <v>0</v>
      </c>
    </row>
    <row r="74" spans="1:8" ht="15" x14ac:dyDescent="0.25">
      <c r="A74" s="183" t="s">
        <v>378</v>
      </c>
      <c r="B74" s="286" t="s">
        <v>445</v>
      </c>
      <c r="C74" s="184" t="s">
        <v>44</v>
      </c>
      <c r="D74" s="188">
        <v>124434</v>
      </c>
      <c r="E74" s="188">
        <v>367.92</v>
      </c>
      <c r="F74" s="188">
        <v>2429.9140000000002</v>
      </c>
      <c r="G74" s="188">
        <v>871.39800000000002</v>
      </c>
      <c r="H74" s="188">
        <v>304.43400000000003</v>
      </c>
    </row>
    <row r="75" spans="1:8" ht="15" x14ac:dyDescent="0.25">
      <c r="A75" s="183" t="s">
        <v>378</v>
      </c>
      <c r="B75" s="286" t="s">
        <v>446</v>
      </c>
      <c r="C75" s="184" t="s">
        <v>50</v>
      </c>
      <c r="D75" s="185">
        <v>2257.1999999999998</v>
      </c>
      <c r="E75" s="185">
        <v>311.76</v>
      </c>
      <c r="F75" s="185">
        <v>848.75800000000004</v>
      </c>
      <c r="G75" s="185">
        <v>24.372</v>
      </c>
      <c r="H75" s="185">
        <v>39.575000000000003</v>
      </c>
    </row>
    <row r="76" spans="1:8" ht="15" x14ac:dyDescent="0.25">
      <c r="A76" s="183" t="s">
        <v>378</v>
      </c>
      <c r="B76" s="183" t="s">
        <v>447</v>
      </c>
      <c r="C76" s="184" t="s">
        <v>44</v>
      </c>
      <c r="D76" s="188">
        <v>19918.8</v>
      </c>
      <c r="E76" s="188">
        <v>904.32</v>
      </c>
      <c r="F76" s="188">
        <v>1252.9659999999999</v>
      </c>
      <c r="G76" s="188">
        <v>1295.348</v>
      </c>
      <c r="H76" s="188">
        <v>0</v>
      </c>
    </row>
    <row r="77" spans="1:8" ht="15" x14ac:dyDescent="0.25">
      <c r="A77" s="183" t="s">
        <v>378</v>
      </c>
      <c r="B77" s="286" t="s">
        <v>448</v>
      </c>
      <c r="C77" s="184" t="s">
        <v>50</v>
      </c>
      <c r="D77" s="185">
        <v>19918.8</v>
      </c>
      <c r="E77" s="185">
        <v>345.24</v>
      </c>
      <c r="F77" s="185">
        <v>1869.62</v>
      </c>
      <c r="G77" s="185">
        <v>892.74199999999996</v>
      </c>
      <c r="H77" s="185">
        <v>0</v>
      </c>
    </row>
    <row r="78" spans="1:8" ht="15" x14ac:dyDescent="0.25">
      <c r="A78" s="183" t="s">
        <v>378</v>
      </c>
      <c r="B78" s="285" t="s">
        <v>449</v>
      </c>
      <c r="C78" s="184" t="s">
        <v>385</v>
      </c>
      <c r="D78" s="188">
        <v>22176</v>
      </c>
      <c r="E78" s="188">
        <v>657</v>
      </c>
      <c r="F78" s="188">
        <v>2718.3780000000002</v>
      </c>
      <c r="G78" s="188">
        <v>917.11400000000003</v>
      </c>
      <c r="H78" s="188">
        <v>39.575000000000003</v>
      </c>
    </row>
    <row r="79" spans="1:8" ht="15" x14ac:dyDescent="0.25">
      <c r="A79" s="183" t="s">
        <v>378</v>
      </c>
      <c r="B79" s="285" t="s">
        <v>450</v>
      </c>
      <c r="C79" s="184" t="s">
        <v>45</v>
      </c>
      <c r="D79" s="185">
        <v>0</v>
      </c>
      <c r="E79" s="185">
        <v>0</v>
      </c>
      <c r="F79" s="185">
        <v>0</v>
      </c>
      <c r="G79" s="185">
        <v>0</v>
      </c>
      <c r="H79" s="185">
        <v>21008.61</v>
      </c>
    </row>
    <row r="80" spans="1:8" ht="15" x14ac:dyDescent="0.25">
      <c r="A80" s="183" t="s">
        <v>378</v>
      </c>
      <c r="B80" s="285" t="s">
        <v>39</v>
      </c>
      <c r="C80" s="189" t="s">
        <v>392</v>
      </c>
      <c r="D80" s="188">
        <v>0</v>
      </c>
      <c r="E80" s="188">
        <v>0</v>
      </c>
      <c r="F80" s="188">
        <v>0</v>
      </c>
      <c r="G80" s="188">
        <v>0</v>
      </c>
      <c r="H80" s="188">
        <v>0</v>
      </c>
    </row>
    <row r="81" spans="1:8" ht="15" x14ac:dyDescent="0.25">
      <c r="A81" s="183" t="s">
        <v>378</v>
      </c>
      <c r="B81" s="285" t="s">
        <v>400</v>
      </c>
      <c r="C81" s="184" t="s">
        <v>400</v>
      </c>
      <c r="D81" s="185">
        <v>0</v>
      </c>
      <c r="E81" s="185">
        <v>0</v>
      </c>
      <c r="F81" s="185">
        <v>17.204000000000001</v>
      </c>
      <c r="G81" s="185">
        <v>0</v>
      </c>
      <c r="H81" s="185">
        <v>0</v>
      </c>
    </row>
    <row r="82" spans="1:8" ht="15" x14ac:dyDescent="0.25">
      <c r="A82" s="183" t="s">
        <v>378</v>
      </c>
      <c r="B82" s="285" t="s">
        <v>451</v>
      </c>
      <c r="C82" s="189" t="s">
        <v>62</v>
      </c>
      <c r="D82" s="188">
        <v>5688</v>
      </c>
      <c r="E82" s="188">
        <v>322.92</v>
      </c>
      <c r="F82" s="188">
        <v>0</v>
      </c>
      <c r="G82" s="188">
        <v>-2.2719999999999998</v>
      </c>
      <c r="H82" s="188">
        <v>0</v>
      </c>
    </row>
    <row r="83" spans="1:8" ht="15" x14ac:dyDescent="0.25">
      <c r="A83" s="183" t="s">
        <v>378</v>
      </c>
      <c r="B83" s="285" t="s">
        <v>452</v>
      </c>
      <c r="C83" s="184" t="s">
        <v>39</v>
      </c>
      <c r="D83" s="185">
        <v>792</v>
      </c>
      <c r="E83" s="185">
        <v>4.68</v>
      </c>
      <c r="F83" s="185">
        <v>15.368</v>
      </c>
      <c r="G83" s="185">
        <v>2.2719999999999998</v>
      </c>
      <c r="H83" s="185">
        <v>16.271999999999998</v>
      </c>
    </row>
    <row r="84" spans="1:8" ht="15" x14ac:dyDescent="0.25">
      <c r="A84" s="183" t="s">
        <v>378</v>
      </c>
      <c r="B84" s="287" t="s">
        <v>453</v>
      </c>
      <c r="C84" s="184" t="s">
        <v>385</v>
      </c>
      <c r="D84" s="188">
        <v>188812.769</v>
      </c>
      <c r="E84" s="188">
        <v>3546.3719999999998</v>
      </c>
      <c r="F84" s="188">
        <v>16859.741000000002</v>
      </c>
      <c r="G84" s="188">
        <v>13506.242</v>
      </c>
      <c r="H84" s="188">
        <v>933.89800000000002</v>
      </c>
    </row>
    <row r="85" spans="1:8" ht="15" x14ac:dyDescent="0.25">
      <c r="A85" s="183" t="s">
        <v>378</v>
      </c>
      <c r="B85" s="287" t="s">
        <v>454</v>
      </c>
      <c r="C85" s="184" t="s">
        <v>385</v>
      </c>
      <c r="D85" s="185">
        <v>774280.83100000001</v>
      </c>
      <c r="E85" s="185">
        <v>4176.7079999999996</v>
      </c>
      <c r="F85" s="185">
        <v>39448.917999999998</v>
      </c>
      <c r="G85" s="185">
        <v>25324.376</v>
      </c>
      <c r="H85" s="185">
        <v>14397.88</v>
      </c>
    </row>
    <row r="86" spans="1:8" ht="15" x14ac:dyDescent="0.25">
      <c r="A86" s="183" t="s">
        <v>407</v>
      </c>
      <c r="B86" s="284" t="s">
        <v>54</v>
      </c>
      <c r="C86" s="184" t="s">
        <v>54</v>
      </c>
      <c r="D86" s="188">
        <v>413804</v>
      </c>
      <c r="E86" s="188">
        <v>36995</v>
      </c>
      <c r="F86" s="188">
        <v>81498.842999999993</v>
      </c>
      <c r="G86" s="188">
        <v>9112.7620000000006</v>
      </c>
      <c r="H86" s="188">
        <v>8021.5129999999999</v>
      </c>
    </row>
    <row r="87" spans="1:8" ht="15" x14ac:dyDescent="0.25">
      <c r="A87" s="183" t="s">
        <v>407</v>
      </c>
      <c r="B87" s="285" t="s">
        <v>384</v>
      </c>
      <c r="C87" s="184" t="s">
        <v>385</v>
      </c>
      <c r="D87" s="185">
        <v>60158</v>
      </c>
      <c r="E87" s="185">
        <v>11</v>
      </c>
      <c r="F87" s="185">
        <v>0</v>
      </c>
      <c r="G87" s="185">
        <v>0</v>
      </c>
      <c r="H87" s="185">
        <v>2241.2579999999998</v>
      </c>
    </row>
    <row r="88" spans="1:8" ht="15" x14ac:dyDescent="0.25">
      <c r="A88" s="183" t="s">
        <v>407</v>
      </c>
      <c r="B88" s="286" t="s">
        <v>386</v>
      </c>
      <c r="C88" s="189" t="s">
        <v>47</v>
      </c>
      <c r="D88" s="188">
        <v>337</v>
      </c>
      <c r="E88" s="188">
        <v>0</v>
      </c>
      <c r="F88" s="188">
        <v>0</v>
      </c>
      <c r="G88" s="188">
        <v>0</v>
      </c>
      <c r="H88" s="188">
        <v>0</v>
      </c>
    </row>
    <row r="89" spans="1:8" ht="15" x14ac:dyDescent="0.25">
      <c r="A89" s="183" t="s">
        <v>407</v>
      </c>
      <c r="B89" s="286" t="s">
        <v>387</v>
      </c>
      <c r="C89" s="184" t="s">
        <v>47</v>
      </c>
      <c r="D89" s="185">
        <v>1686</v>
      </c>
      <c r="E89" s="185">
        <v>0</v>
      </c>
      <c r="F89" s="185">
        <v>0</v>
      </c>
      <c r="G89" s="185">
        <v>0</v>
      </c>
      <c r="H89" s="185">
        <v>0</v>
      </c>
    </row>
    <row r="90" spans="1:8" ht="15" x14ac:dyDescent="0.25">
      <c r="A90" s="183" t="s">
        <v>407</v>
      </c>
      <c r="B90" s="286" t="s">
        <v>388</v>
      </c>
      <c r="C90" s="189" t="s">
        <v>47</v>
      </c>
      <c r="D90" s="188">
        <v>40312</v>
      </c>
      <c r="E90" s="188">
        <v>11</v>
      </c>
      <c r="F90" s="188">
        <v>0</v>
      </c>
      <c r="G90" s="188">
        <v>0</v>
      </c>
      <c r="H90" s="188">
        <v>0</v>
      </c>
    </row>
    <row r="91" spans="1:8" ht="15" x14ac:dyDescent="0.25">
      <c r="A91" s="183" t="s">
        <v>407</v>
      </c>
      <c r="B91" s="286" t="s">
        <v>389</v>
      </c>
      <c r="C91" s="184" t="s">
        <v>48</v>
      </c>
      <c r="D91" s="185">
        <v>0</v>
      </c>
      <c r="E91" s="185">
        <v>0</v>
      </c>
      <c r="F91" s="185">
        <v>0</v>
      </c>
      <c r="G91" s="185">
        <v>0</v>
      </c>
      <c r="H91" s="185">
        <v>1385.5740000000001</v>
      </c>
    </row>
    <row r="92" spans="1:8" ht="15" x14ac:dyDescent="0.25">
      <c r="A92" s="183" t="s">
        <v>407</v>
      </c>
      <c r="B92" s="286" t="s">
        <v>349</v>
      </c>
      <c r="C92" s="184" t="s">
        <v>48</v>
      </c>
      <c r="D92" s="188">
        <v>15096</v>
      </c>
      <c r="E92" s="188">
        <v>0</v>
      </c>
      <c r="F92" s="188">
        <v>0</v>
      </c>
      <c r="G92" s="188">
        <v>0</v>
      </c>
      <c r="H92" s="188">
        <v>855.68399999999997</v>
      </c>
    </row>
    <row r="93" spans="1:8" ht="15" x14ac:dyDescent="0.25">
      <c r="A93" s="183" t="s">
        <v>407</v>
      </c>
      <c r="B93" s="286" t="s">
        <v>390</v>
      </c>
      <c r="C93" s="184" t="s">
        <v>392</v>
      </c>
      <c r="D93" s="185">
        <v>0</v>
      </c>
      <c r="E93" s="185">
        <v>0</v>
      </c>
      <c r="F93" s="185">
        <v>0</v>
      </c>
      <c r="G93" s="185">
        <v>0</v>
      </c>
      <c r="H93" s="185">
        <v>0</v>
      </c>
    </row>
    <row r="94" spans="1:8" ht="15" x14ac:dyDescent="0.25">
      <c r="A94" s="183" t="s">
        <v>407</v>
      </c>
      <c r="B94" s="286" t="s">
        <v>391</v>
      </c>
      <c r="C94" s="189" t="s">
        <v>392</v>
      </c>
      <c r="D94" s="188">
        <v>0</v>
      </c>
      <c r="E94" s="188">
        <v>0</v>
      </c>
      <c r="F94" s="188">
        <v>0</v>
      </c>
      <c r="G94" s="188">
        <v>0</v>
      </c>
      <c r="H94" s="188">
        <v>0</v>
      </c>
    </row>
    <row r="95" spans="1:8" ht="15" x14ac:dyDescent="0.25">
      <c r="A95" s="183" t="s">
        <v>407</v>
      </c>
      <c r="B95" s="286" t="s">
        <v>393</v>
      </c>
      <c r="C95" s="184" t="s">
        <v>392</v>
      </c>
      <c r="D95" s="185">
        <v>0</v>
      </c>
      <c r="E95" s="185">
        <v>0</v>
      </c>
      <c r="F95" s="185">
        <v>0</v>
      </c>
      <c r="G95" s="185">
        <v>0</v>
      </c>
      <c r="H95" s="185">
        <v>0</v>
      </c>
    </row>
    <row r="96" spans="1:8" ht="15" x14ac:dyDescent="0.25">
      <c r="A96" s="183" t="s">
        <v>407</v>
      </c>
      <c r="B96" s="286" t="s">
        <v>17</v>
      </c>
      <c r="C96" s="189" t="s">
        <v>48</v>
      </c>
      <c r="D96" s="188">
        <v>2727</v>
      </c>
      <c r="E96" s="188">
        <v>0</v>
      </c>
      <c r="F96" s="188">
        <v>0</v>
      </c>
      <c r="G96" s="188">
        <v>0</v>
      </c>
      <c r="H96" s="188">
        <v>0</v>
      </c>
    </row>
    <row r="97" spans="1:8" ht="15" x14ac:dyDescent="0.25">
      <c r="A97" s="183" t="s">
        <v>407</v>
      </c>
      <c r="B97" s="286" t="s">
        <v>394</v>
      </c>
      <c r="C97" s="184" t="s">
        <v>392</v>
      </c>
      <c r="D97" s="185">
        <v>0</v>
      </c>
      <c r="E97" s="185">
        <v>0</v>
      </c>
      <c r="F97" s="185">
        <v>0</v>
      </c>
      <c r="G97" s="185">
        <v>0</v>
      </c>
      <c r="H97" s="185">
        <v>0</v>
      </c>
    </row>
    <row r="98" spans="1:8" ht="15" x14ac:dyDescent="0.25">
      <c r="A98" s="183" t="s">
        <v>407</v>
      </c>
      <c r="B98" s="285" t="s">
        <v>395</v>
      </c>
      <c r="C98" s="184" t="s">
        <v>385</v>
      </c>
      <c r="D98" s="188">
        <v>35</v>
      </c>
      <c r="E98" s="188">
        <v>0</v>
      </c>
      <c r="F98" s="188">
        <v>1163.2149999999999</v>
      </c>
      <c r="G98" s="188">
        <v>0</v>
      </c>
      <c r="H98" s="188">
        <v>0</v>
      </c>
    </row>
    <row r="99" spans="1:8" ht="15" x14ac:dyDescent="0.25">
      <c r="A99" s="183" t="s">
        <v>407</v>
      </c>
      <c r="B99" s="286" t="s">
        <v>397</v>
      </c>
      <c r="C99" s="184" t="s">
        <v>395</v>
      </c>
      <c r="D99" s="185">
        <v>0</v>
      </c>
      <c r="E99" s="185">
        <v>0</v>
      </c>
      <c r="F99" s="185">
        <v>84.290999999999997</v>
      </c>
      <c r="G99" s="185">
        <v>0</v>
      </c>
      <c r="H99" s="185">
        <v>0</v>
      </c>
    </row>
    <row r="100" spans="1:8" ht="15" x14ac:dyDescent="0.25">
      <c r="A100" s="183" t="s">
        <v>407</v>
      </c>
      <c r="B100" s="286" t="s">
        <v>398</v>
      </c>
      <c r="C100" s="189" t="s">
        <v>392</v>
      </c>
      <c r="D100" s="188">
        <v>0</v>
      </c>
      <c r="E100" s="188">
        <v>0</v>
      </c>
      <c r="F100" s="188">
        <v>0</v>
      </c>
      <c r="G100" s="188">
        <v>0</v>
      </c>
      <c r="H100" s="188">
        <v>0</v>
      </c>
    </row>
    <row r="101" spans="1:8" ht="15" x14ac:dyDescent="0.25">
      <c r="A101" s="183" t="s">
        <v>407</v>
      </c>
      <c r="B101" s="286" t="s">
        <v>399</v>
      </c>
      <c r="C101" s="184" t="s">
        <v>395</v>
      </c>
      <c r="D101" s="185">
        <v>0</v>
      </c>
      <c r="E101" s="185">
        <v>0</v>
      </c>
      <c r="F101" s="185">
        <v>1078.924</v>
      </c>
      <c r="G101" s="185">
        <v>0</v>
      </c>
      <c r="H101" s="185">
        <v>0</v>
      </c>
    </row>
    <row r="102" spans="1:8" ht="15" x14ac:dyDescent="0.25">
      <c r="A102" s="183" t="s">
        <v>407</v>
      </c>
      <c r="B102" s="286" t="s">
        <v>401</v>
      </c>
      <c r="C102" s="189" t="s">
        <v>395</v>
      </c>
      <c r="D102" s="188">
        <v>35</v>
      </c>
      <c r="E102" s="188">
        <v>0</v>
      </c>
      <c r="F102" s="188">
        <v>0</v>
      </c>
      <c r="G102" s="188">
        <v>0</v>
      </c>
      <c r="H102" s="188">
        <v>0</v>
      </c>
    </row>
    <row r="103" spans="1:8" ht="15" x14ac:dyDescent="0.25">
      <c r="A103" s="183" t="s">
        <v>407</v>
      </c>
      <c r="B103" s="285" t="s">
        <v>403</v>
      </c>
      <c r="C103" s="184" t="s">
        <v>385</v>
      </c>
      <c r="D103" s="185">
        <v>0</v>
      </c>
      <c r="E103" s="185">
        <v>57</v>
      </c>
      <c r="F103" s="185">
        <v>0</v>
      </c>
      <c r="G103" s="185">
        <v>0</v>
      </c>
      <c r="H103" s="185">
        <v>0</v>
      </c>
    </row>
    <row r="104" spans="1:8" ht="15" x14ac:dyDescent="0.25">
      <c r="A104" s="183" t="s">
        <v>407</v>
      </c>
      <c r="B104" s="286" t="s">
        <v>402</v>
      </c>
      <c r="C104" s="189" t="s">
        <v>402</v>
      </c>
      <c r="D104" s="188">
        <v>0</v>
      </c>
      <c r="E104" s="188">
        <v>57</v>
      </c>
      <c r="F104" s="188">
        <v>0</v>
      </c>
      <c r="G104" s="188">
        <v>0</v>
      </c>
      <c r="H104" s="188">
        <v>0</v>
      </c>
    </row>
    <row r="105" spans="1:8" ht="15" x14ac:dyDescent="0.25">
      <c r="A105" s="183" t="s">
        <v>407</v>
      </c>
      <c r="B105" s="286" t="s">
        <v>404</v>
      </c>
      <c r="C105" s="184" t="s">
        <v>392</v>
      </c>
      <c r="D105" s="185">
        <v>0</v>
      </c>
      <c r="E105" s="185">
        <v>0</v>
      </c>
      <c r="F105" s="185">
        <v>0</v>
      </c>
      <c r="G105" s="185">
        <v>0</v>
      </c>
      <c r="H105" s="185">
        <v>0</v>
      </c>
    </row>
    <row r="106" spans="1:8" ht="15" x14ac:dyDescent="0.25">
      <c r="A106" s="183" t="s">
        <v>407</v>
      </c>
      <c r="B106" s="285" t="s">
        <v>405</v>
      </c>
      <c r="C106" s="189" t="s">
        <v>392</v>
      </c>
      <c r="D106" s="188">
        <v>0</v>
      </c>
      <c r="E106" s="188">
        <v>0</v>
      </c>
      <c r="F106" s="188">
        <v>0</v>
      </c>
      <c r="G106" s="188">
        <v>0</v>
      </c>
      <c r="H106" s="188">
        <v>0</v>
      </c>
    </row>
    <row r="107" spans="1:8" ht="15" x14ac:dyDescent="0.25">
      <c r="A107" s="183" t="s">
        <v>407</v>
      </c>
      <c r="B107" s="285" t="s">
        <v>20</v>
      </c>
      <c r="C107" s="184" t="s">
        <v>20</v>
      </c>
      <c r="D107" s="185">
        <v>212118</v>
      </c>
      <c r="E107" s="185">
        <v>4340</v>
      </c>
      <c r="F107" s="185">
        <v>24928.34</v>
      </c>
      <c r="G107" s="185">
        <v>8865.107</v>
      </c>
      <c r="H107" s="185">
        <v>3700.3240000000001</v>
      </c>
    </row>
    <row r="108" spans="1:8" ht="15" x14ac:dyDescent="0.25">
      <c r="A108" s="183" t="s">
        <v>407</v>
      </c>
      <c r="B108" s="285" t="s">
        <v>406</v>
      </c>
      <c r="C108" s="184" t="s">
        <v>385</v>
      </c>
      <c r="D108" s="188">
        <v>6837</v>
      </c>
      <c r="E108" s="188">
        <v>218</v>
      </c>
      <c r="F108" s="188">
        <v>2722.46</v>
      </c>
      <c r="G108" s="188">
        <v>247.655</v>
      </c>
      <c r="H108" s="188">
        <v>68.593000000000004</v>
      </c>
    </row>
    <row r="109" spans="1:8" ht="15" x14ac:dyDescent="0.25">
      <c r="A109" s="183" t="s">
        <v>407</v>
      </c>
      <c r="B109" s="286" t="s">
        <v>408</v>
      </c>
      <c r="C109" s="184" t="s">
        <v>392</v>
      </c>
      <c r="D109" s="185">
        <v>0</v>
      </c>
      <c r="E109" s="185">
        <v>0</v>
      </c>
      <c r="F109" s="185">
        <v>0</v>
      </c>
      <c r="G109" s="185">
        <v>0</v>
      </c>
      <c r="H109" s="185">
        <v>0</v>
      </c>
    </row>
    <row r="110" spans="1:8" ht="15" x14ac:dyDescent="0.25">
      <c r="A110" s="183" t="s">
        <v>407</v>
      </c>
      <c r="B110" s="286" t="s">
        <v>409</v>
      </c>
      <c r="C110" s="189" t="s">
        <v>392</v>
      </c>
      <c r="D110" s="188">
        <v>0</v>
      </c>
      <c r="E110" s="188">
        <v>0</v>
      </c>
      <c r="F110" s="188">
        <v>0</v>
      </c>
      <c r="G110" s="188">
        <v>0</v>
      </c>
      <c r="H110" s="188">
        <v>0</v>
      </c>
    </row>
    <row r="111" spans="1:8" ht="15" x14ac:dyDescent="0.25">
      <c r="A111" s="183" t="s">
        <v>407</v>
      </c>
      <c r="B111" s="286" t="s">
        <v>410</v>
      </c>
      <c r="C111" s="184" t="s">
        <v>392</v>
      </c>
      <c r="D111" s="185">
        <v>0</v>
      </c>
      <c r="E111" s="185">
        <v>0</v>
      </c>
      <c r="F111" s="185">
        <v>0</v>
      </c>
      <c r="G111" s="185">
        <v>0</v>
      </c>
      <c r="H111" s="185">
        <v>0</v>
      </c>
    </row>
    <row r="112" spans="1:8" ht="15" x14ac:dyDescent="0.25">
      <c r="A112" s="183" t="s">
        <v>407</v>
      </c>
      <c r="B112" s="286" t="s">
        <v>411</v>
      </c>
      <c r="C112" s="189" t="s">
        <v>392</v>
      </c>
      <c r="D112" s="188">
        <v>0</v>
      </c>
      <c r="E112" s="188">
        <v>0</v>
      </c>
      <c r="F112" s="188">
        <v>0</v>
      </c>
      <c r="G112" s="188">
        <v>0</v>
      </c>
      <c r="H112" s="188">
        <v>0</v>
      </c>
    </row>
    <row r="113" spans="1:8" ht="15" x14ac:dyDescent="0.25">
      <c r="A113" s="183" t="s">
        <v>407</v>
      </c>
      <c r="B113" s="286" t="s">
        <v>412</v>
      </c>
      <c r="C113" s="184" t="s">
        <v>392</v>
      </c>
      <c r="D113" s="185">
        <v>0</v>
      </c>
      <c r="E113" s="185">
        <v>0</v>
      </c>
      <c r="F113" s="185">
        <v>0</v>
      </c>
      <c r="G113" s="185">
        <v>0</v>
      </c>
      <c r="H113" s="185">
        <v>0</v>
      </c>
    </row>
    <row r="114" spans="1:8" ht="15" x14ac:dyDescent="0.25">
      <c r="A114" s="183" t="s">
        <v>407</v>
      </c>
      <c r="B114" s="286" t="s">
        <v>413</v>
      </c>
      <c r="C114" s="189" t="s">
        <v>49</v>
      </c>
      <c r="D114" s="188">
        <v>0</v>
      </c>
      <c r="E114" s="188">
        <v>0</v>
      </c>
      <c r="F114" s="188">
        <v>554.46900000000005</v>
      </c>
      <c r="G114" s="188">
        <v>0</v>
      </c>
      <c r="H114" s="188">
        <v>0</v>
      </c>
    </row>
    <row r="115" spans="1:8" ht="15" x14ac:dyDescent="0.25">
      <c r="A115" s="183" t="s">
        <v>407</v>
      </c>
      <c r="B115" s="286" t="s">
        <v>414</v>
      </c>
      <c r="C115" s="184" t="s">
        <v>392</v>
      </c>
      <c r="D115" s="185">
        <v>0</v>
      </c>
      <c r="E115" s="185">
        <v>0</v>
      </c>
      <c r="F115" s="185">
        <v>0</v>
      </c>
      <c r="G115" s="185">
        <v>0</v>
      </c>
      <c r="H115" s="185">
        <v>0</v>
      </c>
    </row>
    <row r="116" spans="1:8" ht="15" x14ac:dyDescent="0.25">
      <c r="A116" s="183" t="s">
        <v>407</v>
      </c>
      <c r="B116" s="286" t="s">
        <v>415</v>
      </c>
      <c r="C116" s="189" t="s">
        <v>49</v>
      </c>
      <c r="D116" s="188">
        <v>74</v>
      </c>
      <c r="E116" s="188">
        <v>36</v>
      </c>
      <c r="F116" s="188">
        <v>0</v>
      </c>
      <c r="G116" s="188">
        <v>0</v>
      </c>
      <c r="H116" s="188">
        <v>48.308999999999997</v>
      </c>
    </row>
    <row r="117" spans="1:8" ht="15" x14ac:dyDescent="0.25">
      <c r="A117" s="183" t="s">
        <v>407</v>
      </c>
      <c r="B117" s="286" t="s">
        <v>416</v>
      </c>
      <c r="C117" s="184" t="s">
        <v>392</v>
      </c>
      <c r="D117" s="185">
        <v>0</v>
      </c>
      <c r="E117" s="185">
        <v>0</v>
      </c>
      <c r="F117" s="185">
        <v>0</v>
      </c>
      <c r="G117" s="185">
        <v>0</v>
      </c>
      <c r="H117" s="185">
        <v>0</v>
      </c>
    </row>
    <row r="118" spans="1:8" ht="15" x14ac:dyDescent="0.25">
      <c r="A118" s="183" t="s">
        <v>407</v>
      </c>
      <c r="B118" s="286" t="s">
        <v>417</v>
      </c>
      <c r="C118" s="189" t="s">
        <v>392</v>
      </c>
      <c r="D118" s="188">
        <v>0</v>
      </c>
      <c r="E118" s="188">
        <v>0</v>
      </c>
      <c r="F118" s="188">
        <v>0</v>
      </c>
      <c r="G118" s="188">
        <v>0</v>
      </c>
      <c r="H118" s="188">
        <v>0</v>
      </c>
    </row>
    <row r="119" spans="1:8" ht="15" x14ac:dyDescent="0.25">
      <c r="A119" s="183" t="s">
        <v>407</v>
      </c>
      <c r="B119" s="286" t="s">
        <v>418</v>
      </c>
      <c r="C119" s="184" t="s">
        <v>392</v>
      </c>
      <c r="D119" s="185">
        <v>0</v>
      </c>
      <c r="E119" s="185">
        <v>0</v>
      </c>
      <c r="F119" s="185">
        <v>0</v>
      </c>
      <c r="G119" s="185">
        <v>0</v>
      </c>
      <c r="H119" s="185">
        <v>0</v>
      </c>
    </row>
    <row r="120" spans="1:8" ht="15" x14ac:dyDescent="0.25">
      <c r="A120" s="183" t="s">
        <v>407</v>
      </c>
      <c r="B120" s="286" t="s">
        <v>419</v>
      </c>
      <c r="C120" s="189" t="s">
        <v>392</v>
      </c>
      <c r="D120" s="188">
        <v>0</v>
      </c>
      <c r="E120" s="188">
        <v>0</v>
      </c>
      <c r="F120" s="188">
        <v>0</v>
      </c>
      <c r="G120" s="188">
        <v>0</v>
      </c>
      <c r="H120" s="188">
        <v>0</v>
      </c>
    </row>
    <row r="121" spans="1:8" ht="15" x14ac:dyDescent="0.25">
      <c r="A121" s="183" t="s">
        <v>407</v>
      </c>
      <c r="B121" s="286" t="s">
        <v>420</v>
      </c>
      <c r="C121" s="184" t="s">
        <v>392</v>
      </c>
      <c r="D121" s="185">
        <v>0</v>
      </c>
      <c r="E121" s="185">
        <v>0</v>
      </c>
      <c r="F121" s="185">
        <v>0</v>
      </c>
      <c r="G121" s="185">
        <v>0</v>
      </c>
      <c r="H121" s="185">
        <v>0</v>
      </c>
    </row>
    <row r="122" spans="1:8" ht="15" x14ac:dyDescent="0.25">
      <c r="A122" s="183" t="s">
        <v>407</v>
      </c>
      <c r="B122" s="286" t="s">
        <v>421</v>
      </c>
      <c r="C122" s="189" t="s">
        <v>392</v>
      </c>
      <c r="D122" s="188">
        <v>0</v>
      </c>
      <c r="E122" s="188">
        <v>0</v>
      </c>
      <c r="F122" s="188">
        <v>0</v>
      </c>
      <c r="G122" s="188">
        <v>0</v>
      </c>
      <c r="H122" s="188">
        <v>0</v>
      </c>
    </row>
    <row r="123" spans="1:8" ht="15" x14ac:dyDescent="0.25">
      <c r="A123" s="183" t="s">
        <v>407</v>
      </c>
      <c r="B123" s="286" t="s">
        <v>422</v>
      </c>
      <c r="C123" s="184" t="s">
        <v>49</v>
      </c>
      <c r="D123" s="185">
        <v>5456</v>
      </c>
      <c r="E123" s="185">
        <v>101</v>
      </c>
      <c r="F123" s="185">
        <v>87.241</v>
      </c>
      <c r="G123" s="185">
        <v>0</v>
      </c>
      <c r="H123" s="185">
        <v>20.283999999999999</v>
      </c>
    </row>
    <row r="124" spans="1:8" ht="15" x14ac:dyDescent="0.25">
      <c r="A124" s="183" t="s">
        <v>407</v>
      </c>
      <c r="B124" s="286" t="s">
        <v>19</v>
      </c>
      <c r="C124" s="189" t="s">
        <v>49</v>
      </c>
      <c r="D124" s="188">
        <v>100</v>
      </c>
      <c r="E124" s="188">
        <v>81</v>
      </c>
      <c r="F124" s="188">
        <v>2080.75</v>
      </c>
      <c r="G124" s="188">
        <v>247.655</v>
      </c>
      <c r="H124" s="188">
        <v>0</v>
      </c>
    </row>
    <row r="125" spans="1:8" ht="15" x14ac:dyDescent="0.25">
      <c r="A125" s="183" t="s">
        <v>407</v>
      </c>
      <c r="B125" s="286" t="s">
        <v>423</v>
      </c>
      <c r="C125" s="184" t="s">
        <v>392</v>
      </c>
      <c r="D125" s="185">
        <v>0</v>
      </c>
      <c r="E125" s="185">
        <v>0</v>
      </c>
      <c r="F125" s="185">
        <v>0</v>
      </c>
      <c r="G125" s="185">
        <v>0</v>
      </c>
      <c r="H125" s="185">
        <v>0</v>
      </c>
    </row>
    <row r="126" spans="1:8" ht="15" x14ac:dyDescent="0.25">
      <c r="A126" s="183" t="s">
        <v>407</v>
      </c>
      <c r="B126" s="286" t="s">
        <v>424</v>
      </c>
      <c r="C126" s="189" t="s">
        <v>392</v>
      </c>
      <c r="D126" s="188">
        <v>0</v>
      </c>
      <c r="E126" s="188">
        <v>0</v>
      </c>
      <c r="F126" s="188">
        <v>0</v>
      </c>
      <c r="G126" s="188">
        <v>0</v>
      </c>
      <c r="H126" s="188">
        <v>0</v>
      </c>
    </row>
    <row r="127" spans="1:8" ht="15" x14ac:dyDescent="0.25">
      <c r="A127" s="183" t="s">
        <v>407</v>
      </c>
      <c r="B127" s="286" t="s">
        <v>425</v>
      </c>
      <c r="C127" s="184" t="s">
        <v>392</v>
      </c>
      <c r="D127" s="185">
        <v>0</v>
      </c>
      <c r="E127" s="185">
        <v>0</v>
      </c>
      <c r="F127" s="185">
        <v>0</v>
      </c>
      <c r="G127" s="185">
        <v>0</v>
      </c>
      <c r="H127" s="185">
        <v>0</v>
      </c>
    </row>
    <row r="128" spans="1:8" ht="15" x14ac:dyDescent="0.25">
      <c r="A128" s="183" t="s">
        <v>407</v>
      </c>
      <c r="B128" s="286" t="s">
        <v>426</v>
      </c>
      <c r="C128" s="189" t="s">
        <v>392</v>
      </c>
      <c r="D128" s="188">
        <v>0</v>
      </c>
      <c r="E128" s="188">
        <v>0</v>
      </c>
      <c r="F128" s="188">
        <v>0</v>
      </c>
      <c r="G128" s="188">
        <v>0</v>
      </c>
      <c r="H128" s="188">
        <v>0</v>
      </c>
    </row>
    <row r="129" spans="1:8" ht="15" x14ac:dyDescent="0.25">
      <c r="A129" s="183" t="s">
        <v>407</v>
      </c>
      <c r="B129" s="286" t="s">
        <v>427</v>
      </c>
      <c r="C129" s="184" t="s">
        <v>392</v>
      </c>
      <c r="D129" s="185">
        <v>0</v>
      </c>
      <c r="E129" s="185">
        <v>0</v>
      </c>
      <c r="F129" s="185">
        <v>0</v>
      </c>
      <c r="G129" s="185">
        <v>0</v>
      </c>
      <c r="H129" s="185">
        <v>0</v>
      </c>
    </row>
    <row r="130" spans="1:8" ht="15" x14ac:dyDescent="0.25">
      <c r="A130" s="183" t="s">
        <v>407</v>
      </c>
      <c r="B130" s="286" t="s">
        <v>428</v>
      </c>
      <c r="C130" s="189" t="s">
        <v>49</v>
      </c>
      <c r="D130" s="188">
        <v>1207</v>
      </c>
      <c r="E130" s="188">
        <v>0</v>
      </c>
      <c r="F130" s="188">
        <v>0</v>
      </c>
      <c r="G130" s="188">
        <v>0</v>
      </c>
      <c r="H130" s="188">
        <v>0</v>
      </c>
    </row>
    <row r="131" spans="1:8" ht="15" x14ac:dyDescent="0.25">
      <c r="A131" s="183" t="s">
        <v>407</v>
      </c>
      <c r="B131" s="285" t="s">
        <v>429</v>
      </c>
      <c r="C131" s="184" t="s">
        <v>385</v>
      </c>
      <c r="D131" s="185">
        <v>84510</v>
      </c>
      <c r="E131" s="185">
        <v>25168</v>
      </c>
      <c r="F131" s="185">
        <v>46350.366999999998</v>
      </c>
      <c r="G131" s="185">
        <v>0</v>
      </c>
      <c r="H131" s="185">
        <v>1869.0820000000001</v>
      </c>
    </row>
    <row r="132" spans="1:8" ht="15" x14ac:dyDescent="0.25">
      <c r="A132" s="183" t="s">
        <v>407</v>
      </c>
      <c r="B132" s="286" t="s">
        <v>430</v>
      </c>
      <c r="C132" s="189" t="s">
        <v>392</v>
      </c>
      <c r="D132" s="188">
        <v>0</v>
      </c>
      <c r="E132" s="188">
        <v>0</v>
      </c>
      <c r="F132" s="188">
        <v>0</v>
      </c>
      <c r="G132" s="188">
        <v>0</v>
      </c>
      <c r="H132" s="188">
        <v>0</v>
      </c>
    </row>
    <row r="133" spans="1:8" ht="15" x14ac:dyDescent="0.25">
      <c r="A133" s="183" t="s">
        <v>407</v>
      </c>
      <c r="B133" s="285" t="s">
        <v>431</v>
      </c>
      <c r="C133" s="184" t="s">
        <v>392</v>
      </c>
      <c r="D133" s="185">
        <v>0</v>
      </c>
      <c r="E133" s="185">
        <v>0</v>
      </c>
      <c r="F133" s="185">
        <v>0</v>
      </c>
      <c r="G133" s="185">
        <v>0</v>
      </c>
      <c r="H133" s="185">
        <v>0</v>
      </c>
    </row>
    <row r="134" spans="1:8" ht="15" x14ac:dyDescent="0.25">
      <c r="A134" s="183" t="s">
        <v>407</v>
      </c>
      <c r="B134" s="286" t="s">
        <v>60</v>
      </c>
      <c r="C134" s="189" t="s">
        <v>60</v>
      </c>
      <c r="D134" s="188">
        <v>3115</v>
      </c>
      <c r="E134" s="188">
        <v>0</v>
      </c>
      <c r="F134" s="188">
        <v>667.10699999999997</v>
      </c>
      <c r="G134" s="188">
        <v>0</v>
      </c>
      <c r="H134" s="188">
        <v>37.811999999999998</v>
      </c>
    </row>
    <row r="135" spans="1:8" ht="15" x14ac:dyDescent="0.25">
      <c r="A135" s="183" t="s">
        <v>407</v>
      </c>
      <c r="B135" s="286" t="s">
        <v>432</v>
      </c>
      <c r="C135" s="184" t="s">
        <v>392</v>
      </c>
      <c r="D135" s="185">
        <v>0</v>
      </c>
      <c r="E135" s="185">
        <v>0</v>
      </c>
      <c r="F135" s="185">
        <v>0</v>
      </c>
      <c r="G135" s="185">
        <v>0</v>
      </c>
      <c r="H135" s="185">
        <v>0</v>
      </c>
    </row>
    <row r="136" spans="1:8" ht="15" x14ac:dyDescent="0.25">
      <c r="A136" s="183" t="s">
        <v>407</v>
      </c>
      <c r="B136" s="286" t="s">
        <v>61</v>
      </c>
      <c r="C136" s="189" t="s">
        <v>61</v>
      </c>
      <c r="D136" s="188">
        <v>139</v>
      </c>
      <c r="E136" s="188">
        <v>0</v>
      </c>
      <c r="F136" s="188">
        <v>138.404</v>
      </c>
      <c r="G136" s="188">
        <v>0</v>
      </c>
      <c r="H136" s="188">
        <v>0</v>
      </c>
    </row>
    <row r="137" spans="1:8" ht="15" x14ac:dyDescent="0.25">
      <c r="A137" s="183" t="s">
        <v>407</v>
      </c>
      <c r="B137" s="286" t="s">
        <v>433</v>
      </c>
      <c r="C137" s="184" t="s">
        <v>392</v>
      </c>
      <c r="D137" s="185">
        <v>0</v>
      </c>
      <c r="E137" s="185">
        <v>0</v>
      </c>
      <c r="F137" s="185">
        <v>0</v>
      </c>
      <c r="G137" s="185">
        <v>0</v>
      </c>
      <c r="H137" s="185">
        <v>0</v>
      </c>
    </row>
    <row r="138" spans="1:8" ht="15" x14ac:dyDescent="0.25">
      <c r="A138" s="183" t="s">
        <v>407</v>
      </c>
      <c r="B138" s="286" t="s">
        <v>434</v>
      </c>
      <c r="C138" s="184" t="s">
        <v>392</v>
      </c>
      <c r="D138" s="188">
        <v>0</v>
      </c>
      <c r="E138" s="188">
        <v>0</v>
      </c>
      <c r="F138" s="188">
        <v>0</v>
      </c>
      <c r="G138" s="188">
        <v>0</v>
      </c>
      <c r="H138" s="188">
        <v>0</v>
      </c>
    </row>
    <row r="139" spans="1:8" ht="15" x14ac:dyDescent="0.25">
      <c r="A139" s="183" t="s">
        <v>407</v>
      </c>
      <c r="B139" s="286" t="s">
        <v>435</v>
      </c>
      <c r="C139" s="184" t="s">
        <v>46</v>
      </c>
      <c r="D139" s="185">
        <v>435</v>
      </c>
      <c r="E139" s="185">
        <v>0</v>
      </c>
      <c r="F139" s="185">
        <v>387.46899999999999</v>
      </c>
      <c r="G139" s="185">
        <v>0</v>
      </c>
      <c r="H139" s="185">
        <v>0</v>
      </c>
    </row>
    <row r="140" spans="1:8" ht="15" x14ac:dyDescent="0.25">
      <c r="A140" s="183" t="s">
        <v>407</v>
      </c>
      <c r="B140" s="286" t="s">
        <v>436</v>
      </c>
      <c r="C140" s="184" t="s">
        <v>44</v>
      </c>
      <c r="D140" s="188">
        <v>28737</v>
      </c>
      <c r="E140" s="188">
        <v>22666</v>
      </c>
      <c r="F140" s="188">
        <v>41501.733</v>
      </c>
      <c r="G140" s="188">
        <v>0</v>
      </c>
      <c r="H140" s="188">
        <v>1701.8019999999999</v>
      </c>
    </row>
    <row r="141" spans="1:8" ht="15" x14ac:dyDescent="0.25">
      <c r="A141" s="183" t="s">
        <v>407</v>
      </c>
      <c r="B141" s="286" t="s">
        <v>437</v>
      </c>
      <c r="C141" s="184" t="s">
        <v>392</v>
      </c>
      <c r="D141" s="185">
        <v>0</v>
      </c>
      <c r="E141" s="185">
        <v>0</v>
      </c>
      <c r="F141" s="185">
        <v>0</v>
      </c>
      <c r="G141" s="185">
        <v>0</v>
      </c>
      <c r="H141" s="185">
        <v>0</v>
      </c>
    </row>
    <row r="142" spans="1:8" ht="15" x14ac:dyDescent="0.25">
      <c r="A142" s="183" t="s">
        <v>407</v>
      </c>
      <c r="B142" s="286" t="s">
        <v>438</v>
      </c>
      <c r="C142" s="189" t="s">
        <v>392</v>
      </c>
      <c r="D142" s="188">
        <v>0</v>
      </c>
      <c r="E142" s="188">
        <v>0</v>
      </c>
      <c r="F142" s="188">
        <v>0</v>
      </c>
      <c r="G142" s="188">
        <v>0</v>
      </c>
      <c r="H142" s="188">
        <v>0</v>
      </c>
    </row>
    <row r="143" spans="1:8" ht="15" x14ac:dyDescent="0.25">
      <c r="A143" s="183" t="s">
        <v>407</v>
      </c>
      <c r="B143" s="286" t="s">
        <v>439</v>
      </c>
      <c r="C143" s="184" t="s">
        <v>392</v>
      </c>
      <c r="D143" s="185">
        <v>0</v>
      </c>
      <c r="E143" s="185">
        <v>0</v>
      </c>
      <c r="F143" s="185">
        <v>0</v>
      </c>
      <c r="G143" s="185">
        <v>0</v>
      </c>
      <c r="H143" s="185">
        <v>0</v>
      </c>
    </row>
    <row r="144" spans="1:8" ht="15" x14ac:dyDescent="0.25">
      <c r="A144" s="183" t="s">
        <v>407</v>
      </c>
      <c r="B144" s="286" t="s">
        <v>440</v>
      </c>
      <c r="C144" s="184" t="s">
        <v>44</v>
      </c>
      <c r="D144" s="188">
        <v>0</v>
      </c>
      <c r="E144" s="188">
        <v>0</v>
      </c>
      <c r="F144" s="188">
        <v>0</v>
      </c>
      <c r="G144" s="188">
        <v>0</v>
      </c>
      <c r="H144" s="188">
        <v>25.518000000000001</v>
      </c>
    </row>
    <row r="145" spans="1:8" ht="15" x14ac:dyDescent="0.25">
      <c r="A145" s="183" t="s">
        <v>407</v>
      </c>
      <c r="B145" s="286" t="s">
        <v>441</v>
      </c>
      <c r="C145" s="184" t="s">
        <v>392</v>
      </c>
      <c r="D145" s="185">
        <v>0</v>
      </c>
      <c r="E145" s="185">
        <v>0</v>
      </c>
      <c r="F145" s="185">
        <v>0</v>
      </c>
      <c r="G145" s="185">
        <v>0</v>
      </c>
      <c r="H145" s="185">
        <v>0</v>
      </c>
    </row>
    <row r="146" spans="1:8" ht="15" x14ac:dyDescent="0.25">
      <c r="A146" s="183" t="s">
        <v>407</v>
      </c>
      <c r="B146" s="286" t="s">
        <v>442</v>
      </c>
      <c r="C146" s="189" t="s">
        <v>392</v>
      </c>
      <c r="D146" s="188">
        <v>0</v>
      </c>
      <c r="E146" s="188">
        <v>0</v>
      </c>
      <c r="F146" s="188">
        <v>0</v>
      </c>
      <c r="G146" s="188">
        <v>0</v>
      </c>
      <c r="H146" s="188">
        <v>0</v>
      </c>
    </row>
    <row r="147" spans="1:8" ht="15" x14ac:dyDescent="0.25">
      <c r="A147" s="183" t="s">
        <v>407</v>
      </c>
      <c r="B147" s="286" t="s">
        <v>443</v>
      </c>
      <c r="C147" s="184" t="s">
        <v>392</v>
      </c>
      <c r="D147" s="185">
        <v>0</v>
      </c>
      <c r="E147" s="185">
        <v>0</v>
      </c>
      <c r="F147" s="185">
        <v>0</v>
      </c>
      <c r="G147" s="185">
        <v>0</v>
      </c>
      <c r="H147" s="185">
        <v>0</v>
      </c>
    </row>
    <row r="148" spans="1:8" ht="15" x14ac:dyDescent="0.25">
      <c r="A148" s="183" t="s">
        <v>407</v>
      </c>
      <c r="B148" s="286" t="s">
        <v>444</v>
      </c>
      <c r="C148" s="184" t="s">
        <v>44</v>
      </c>
      <c r="D148" s="188">
        <v>114</v>
      </c>
      <c r="E148" s="188">
        <v>0</v>
      </c>
      <c r="F148" s="188">
        <v>0</v>
      </c>
      <c r="G148" s="188">
        <v>0</v>
      </c>
      <c r="H148" s="188">
        <v>0</v>
      </c>
    </row>
    <row r="149" spans="1:8" ht="15" x14ac:dyDescent="0.25">
      <c r="A149" s="183" t="s">
        <v>407</v>
      </c>
      <c r="B149" s="286" t="s">
        <v>445</v>
      </c>
      <c r="C149" s="184" t="s">
        <v>44</v>
      </c>
      <c r="D149" s="185">
        <v>13128</v>
      </c>
      <c r="E149" s="185">
        <v>70</v>
      </c>
      <c r="F149" s="185">
        <v>374.46300000000002</v>
      </c>
      <c r="G149" s="185">
        <v>0</v>
      </c>
      <c r="H149" s="185">
        <v>103.95</v>
      </c>
    </row>
    <row r="150" spans="1:8" ht="15" x14ac:dyDescent="0.25">
      <c r="A150" s="183" t="s">
        <v>407</v>
      </c>
      <c r="B150" s="286" t="s">
        <v>446</v>
      </c>
      <c r="C150" s="189" t="s">
        <v>50</v>
      </c>
      <c r="D150" s="188">
        <v>5359</v>
      </c>
      <c r="E150" s="188">
        <v>585</v>
      </c>
      <c r="F150" s="188">
        <v>970.94399999999996</v>
      </c>
      <c r="G150" s="188">
        <v>0</v>
      </c>
      <c r="H150" s="188">
        <v>142.256</v>
      </c>
    </row>
    <row r="151" spans="1:8" ht="15" x14ac:dyDescent="0.25">
      <c r="A151" s="183" t="s">
        <v>407</v>
      </c>
      <c r="B151" s="286" t="s">
        <v>447</v>
      </c>
      <c r="C151" s="184" t="s">
        <v>44</v>
      </c>
      <c r="D151" s="185">
        <v>38842</v>
      </c>
      <c r="E151" s="185">
        <v>2432</v>
      </c>
      <c r="F151" s="185">
        <v>3281.1909999999998</v>
      </c>
      <c r="G151" s="185">
        <v>0</v>
      </c>
      <c r="H151" s="185">
        <v>0</v>
      </c>
    </row>
    <row r="152" spans="1:8" ht="15" x14ac:dyDescent="0.25">
      <c r="A152" s="183" t="s">
        <v>407</v>
      </c>
      <c r="B152" s="286" t="s">
        <v>448</v>
      </c>
      <c r="C152" s="189" t="s">
        <v>50</v>
      </c>
      <c r="D152" s="188">
        <v>38842</v>
      </c>
      <c r="E152" s="188">
        <v>631</v>
      </c>
      <c r="F152" s="188">
        <v>5342.576</v>
      </c>
      <c r="G152" s="188">
        <v>0</v>
      </c>
      <c r="H152" s="188">
        <v>0</v>
      </c>
    </row>
    <row r="153" spans="1:8" ht="15" x14ac:dyDescent="0.25">
      <c r="A153" s="183" t="s">
        <v>407</v>
      </c>
      <c r="B153" s="285" t="s">
        <v>449</v>
      </c>
      <c r="C153" s="184" t="s">
        <v>385</v>
      </c>
      <c r="D153" s="185">
        <v>44201</v>
      </c>
      <c r="E153" s="185">
        <v>1216</v>
      </c>
      <c r="F153" s="185">
        <v>6313.52</v>
      </c>
      <c r="G153" s="185">
        <v>0</v>
      </c>
      <c r="H153" s="185">
        <v>142.256</v>
      </c>
    </row>
    <row r="154" spans="1:8" ht="15" x14ac:dyDescent="0.25">
      <c r="A154" s="183" t="s">
        <v>407</v>
      </c>
      <c r="B154" s="285" t="s">
        <v>450</v>
      </c>
      <c r="C154" s="189" t="s">
        <v>392</v>
      </c>
      <c r="D154" s="188">
        <v>0</v>
      </c>
      <c r="E154" s="188">
        <v>0</v>
      </c>
      <c r="F154" s="188">
        <v>0</v>
      </c>
      <c r="G154" s="188">
        <v>0</v>
      </c>
      <c r="H154" s="188">
        <v>0</v>
      </c>
    </row>
    <row r="155" spans="1:8" ht="15" x14ac:dyDescent="0.25">
      <c r="A155" s="183" t="s">
        <v>407</v>
      </c>
      <c r="B155" s="285" t="s">
        <v>39</v>
      </c>
      <c r="C155" s="184" t="s">
        <v>39</v>
      </c>
      <c r="D155" s="185">
        <v>0</v>
      </c>
      <c r="E155" s="185">
        <v>2</v>
      </c>
      <c r="F155" s="185">
        <v>20.940999999999999</v>
      </c>
      <c r="G155" s="185">
        <v>0</v>
      </c>
      <c r="H155" s="185">
        <v>0</v>
      </c>
    </row>
    <row r="156" spans="1:8" ht="15" x14ac:dyDescent="0.25">
      <c r="A156" s="183" t="s">
        <v>407</v>
      </c>
      <c r="B156" s="285" t="s">
        <v>400</v>
      </c>
      <c r="C156" s="189" t="s">
        <v>392</v>
      </c>
      <c r="D156" s="188">
        <v>0</v>
      </c>
      <c r="E156" s="188">
        <v>0</v>
      </c>
      <c r="F156" s="188">
        <v>0</v>
      </c>
      <c r="G156" s="188">
        <v>0</v>
      </c>
      <c r="H156" s="188">
        <v>0</v>
      </c>
    </row>
    <row r="157" spans="1:8" ht="15" x14ac:dyDescent="0.25">
      <c r="A157" s="183" t="s">
        <v>407</v>
      </c>
      <c r="B157" s="285" t="s">
        <v>451</v>
      </c>
      <c r="C157" s="184" t="s">
        <v>62</v>
      </c>
      <c r="D157" s="185">
        <v>5945</v>
      </c>
      <c r="E157" s="185">
        <v>5983</v>
      </c>
      <c r="F157" s="185">
        <v>0</v>
      </c>
      <c r="G157" s="185">
        <v>0</v>
      </c>
      <c r="H157" s="185">
        <v>0</v>
      </c>
    </row>
    <row r="158" spans="1:8" ht="15" x14ac:dyDescent="0.25">
      <c r="A158" s="183" t="s">
        <v>407</v>
      </c>
      <c r="B158" s="285" t="s">
        <v>452</v>
      </c>
      <c r="C158" s="189" t="s">
        <v>392</v>
      </c>
      <c r="D158" s="188">
        <v>0</v>
      </c>
      <c r="E158" s="188">
        <v>0</v>
      </c>
      <c r="F158" s="188">
        <v>0</v>
      </c>
      <c r="G158" s="188">
        <v>0</v>
      </c>
      <c r="H158" s="188">
        <v>0</v>
      </c>
    </row>
    <row r="159" spans="1:8" ht="15" x14ac:dyDescent="0.25">
      <c r="A159" s="183" t="s">
        <v>407</v>
      </c>
      <c r="B159" s="285" t="s">
        <v>453</v>
      </c>
      <c r="C159" s="184" t="s">
        <v>385</v>
      </c>
      <c r="D159" s="185">
        <v>84018.444000000003</v>
      </c>
      <c r="E159" s="185">
        <v>25198.888999999999</v>
      </c>
      <c r="F159" s="185">
        <v>45198.152999999998</v>
      </c>
      <c r="G159" s="185">
        <v>0</v>
      </c>
      <c r="H159" s="185">
        <v>1831.27</v>
      </c>
    </row>
    <row r="160" spans="1:8" ht="15" x14ac:dyDescent="0.25">
      <c r="A160" s="183" t="s">
        <v>407</v>
      </c>
      <c r="B160" s="285" t="s">
        <v>454</v>
      </c>
      <c r="C160" s="184" t="s">
        <v>385</v>
      </c>
      <c r="D160" s="188">
        <v>320151.55599999998</v>
      </c>
      <c r="E160" s="188">
        <v>5811.1109999999999</v>
      </c>
      <c r="F160" s="188">
        <v>35086.769</v>
      </c>
      <c r="G160" s="188">
        <v>9112.7620000000006</v>
      </c>
      <c r="H160" s="188">
        <v>6152.4309999999996</v>
      </c>
    </row>
    <row r="162" spans="1:2" ht="15" x14ac:dyDescent="0.25">
      <c r="A162" s="176"/>
    </row>
    <row r="163" spans="1:2" ht="15" x14ac:dyDescent="0.25">
      <c r="A163" s="176"/>
      <c r="B163" s="174"/>
    </row>
    <row r="164" spans="1:2" ht="15" x14ac:dyDescent="0.25">
      <c r="A164" s="176"/>
    </row>
    <row r="165" spans="1:2" ht="15" x14ac:dyDescent="0.25">
      <c r="A165" s="176"/>
      <c r="B165" s="174"/>
    </row>
  </sheetData>
  <sheetProtection algorithmName="SHA-512" hashValue="HbyKxGI/OqW9r39gc/F+1/PDRFHC0ZB2eQ7GkQk6ase1XRqCRnHlx6c4ZFSn2/8uBVe32NYEgqzadB0hq6TWrw==" saltValue="2f3IxQQ6flvvc4FNgDkSd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78A10-0E29-471C-825F-58D084C4E345}">
  <sheetPr>
    <tabColor rgb="FF0070C0"/>
  </sheetPr>
  <dimension ref="B2:AN286"/>
  <sheetViews>
    <sheetView zoomScaleNormal="100" workbookViewId="0">
      <pane ySplit="7" topLeftCell="A8" activePane="bottomLeft" state="frozen"/>
      <selection activeCell="B1" sqref="B1"/>
      <selection pane="bottomLeft" activeCell="M147" sqref="M147"/>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27.5703125" style="17" customWidth="1"/>
    <col min="11" max="12" width="8.85546875" style="17"/>
    <col min="13" max="13" width="9.85546875" style="17" customWidth="1"/>
    <col min="14" max="35" width="8.85546875" style="17"/>
    <col min="36" max="36" width="12.85546875" style="17" bestFit="1" customWidth="1"/>
    <col min="37" max="16384" width="8.85546875" style="17"/>
  </cols>
  <sheetData>
    <row r="2" spans="2:22" s="16" customFormat="1" ht="17.25" x14ac:dyDescent="0.3">
      <c r="C2" s="16" t="s">
        <v>145</v>
      </c>
      <c r="D2" s="16" t="s">
        <v>146</v>
      </c>
      <c r="M2" s="201"/>
    </row>
    <row r="3" spans="2:22" x14ac:dyDescent="0.3">
      <c r="M3" s="169"/>
    </row>
    <row r="4" spans="2:22" ht="20.25" x14ac:dyDescent="0.35">
      <c r="B4" s="77"/>
      <c r="C4" s="81" t="s">
        <v>455</v>
      </c>
      <c r="D4" s="76"/>
    </row>
    <row r="5" spans="2:22" s="18" customFormat="1" ht="17.25" thickBot="1" x14ac:dyDescent="0.35">
      <c r="B5" s="19" t="s">
        <v>153</v>
      </c>
      <c r="C5" s="19" t="s">
        <v>154</v>
      </c>
      <c r="D5" s="19" t="s">
        <v>32</v>
      </c>
      <c r="E5" s="19" t="s">
        <v>155</v>
      </c>
      <c r="F5" s="19"/>
      <c r="G5" s="19" t="s">
        <v>155</v>
      </c>
      <c r="H5" s="19"/>
      <c r="I5" s="19"/>
      <c r="J5" s="56" t="s">
        <v>156</v>
      </c>
      <c r="K5" s="56"/>
    </row>
    <row r="6" spans="2:22" s="30" customFormat="1" ht="18" thickTop="1" thickBot="1" x14ac:dyDescent="0.35">
      <c r="B6" s="28"/>
      <c r="C6" s="29" t="s">
        <v>157</v>
      </c>
      <c r="D6" s="29"/>
      <c r="E6" s="335" t="s">
        <v>5</v>
      </c>
      <c r="F6" s="335"/>
      <c r="G6" s="335" t="s">
        <v>6</v>
      </c>
      <c r="H6" s="335"/>
      <c r="I6" s="28"/>
      <c r="J6" s="28"/>
      <c r="K6" s="57"/>
    </row>
    <row r="7" spans="2:22" ht="18" thickTop="1" thickBot="1" x14ac:dyDescent="0.35">
      <c r="B7" s="19"/>
      <c r="C7" s="29" t="s">
        <v>158</v>
      </c>
      <c r="D7" s="29"/>
      <c r="E7" s="29" t="s">
        <v>7</v>
      </c>
      <c r="F7" s="29" t="s">
        <v>8</v>
      </c>
      <c r="G7" s="29" t="s">
        <v>7</v>
      </c>
      <c r="H7" s="29" t="s">
        <v>8</v>
      </c>
      <c r="I7" s="19"/>
      <c r="J7" s="19"/>
      <c r="K7" s="56"/>
    </row>
    <row r="8" spans="2:22" ht="17.25" thickTop="1" x14ac:dyDescent="0.3">
      <c r="C8" s="49" t="s">
        <v>456</v>
      </c>
    </row>
    <row r="9" spans="2:22" ht="17.25" thickBot="1" x14ac:dyDescent="0.35">
      <c r="B9" s="21"/>
      <c r="C9" s="20" t="s">
        <v>183</v>
      </c>
      <c r="D9" s="46" t="s">
        <v>184</v>
      </c>
      <c r="E9" s="79">
        <f>'Model homes'!E32</f>
        <v>20</v>
      </c>
      <c r="F9" s="79">
        <f>E9</f>
        <v>20</v>
      </c>
      <c r="G9" s="79">
        <f t="shared" ref="G9:H9" si="0">F9</f>
        <v>20</v>
      </c>
      <c r="H9" s="79">
        <f t="shared" si="0"/>
        <v>20</v>
      </c>
      <c r="I9" s="26"/>
      <c r="J9" s="26"/>
      <c r="K9" s="46" t="s">
        <v>457</v>
      </c>
    </row>
    <row r="10" spans="2:22" ht="17.25" thickTop="1" x14ac:dyDescent="0.3">
      <c r="C10" s="14" t="s">
        <v>458</v>
      </c>
      <c r="D10" s="46" t="s">
        <v>184</v>
      </c>
      <c r="E10" s="38">
        <v>20</v>
      </c>
      <c r="F10" s="38">
        <v>20</v>
      </c>
      <c r="G10" s="38">
        <v>20</v>
      </c>
      <c r="H10" s="38">
        <v>20</v>
      </c>
      <c r="K10" s="46" t="s">
        <v>459</v>
      </c>
      <c r="L10" s="103">
        <v>16</v>
      </c>
      <c r="M10" s="103">
        <v>17</v>
      </c>
      <c r="N10" s="103">
        <v>18</v>
      </c>
      <c r="O10" s="103">
        <v>19</v>
      </c>
      <c r="P10" s="103">
        <v>20</v>
      </c>
      <c r="Q10" s="103">
        <v>21</v>
      </c>
      <c r="R10" s="103">
        <v>22</v>
      </c>
      <c r="S10" s="103">
        <v>23</v>
      </c>
      <c r="T10" s="103">
        <v>24</v>
      </c>
      <c r="U10" s="108"/>
      <c r="V10" s="108"/>
    </row>
    <row r="11" spans="2:22" x14ac:dyDescent="0.3">
      <c r="C11" s="14" t="s">
        <v>460</v>
      </c>
      <c r="D11" s="46" t="s">
        <v>166</v>
      </c>
      <c r="E11" s="115">
        <f>HLOOKUP(E10,$L10:$T11,2,FALSE)</f>
        <v>1</v>
      </c>
      <c r="F11" s="115">
        <f t="shared" ref="F11:H11" si="1">HLOOKUP(F10,$L10:$T11,2,FALSE)</f>
        <v>1</v>
      </c>
      <c r="G11" s="115">
        <f t="shared" si="1"/>
        <v>1</v>
      </c>
      <c r="H11" s="115">
        <f t="shared" si="1"/>
        <v>1</v>
      </c>
      <c r="K11" s="46" t="s">
        <v>459</v>
      </c>
      <c r="L11" s="107">
        <v>0.68</v>
      </c>
      <c r="M11" s="107">
        <v>0.76</v>
      </c>
      <c r="N11" s="107">
        <v>0.84</v>
      </c>
      <c r="O11" s="107">
        <v>0.92</v>
      </c>
      <c r="P11" s="107">
        <v>1</v>
      </c>
      <c r="Q11" s="107">
        <v>1.08</v>
      </c>
      <c r="R11" s="107">
        <v>1.1599999999999999</v>
      </c>
      <c r="S11" s="107">
        <v>1.24</v>
      </c>
      <c r="T11" s="107">
        <v>1.32</v>
      </c>
      <c r="U11" s="108"/>
      <c r="V11" s="108"/>
    </row>
    <row r="12" spans="2:22" x14ac:dyDescent="0.3">
      <c r="C12" s="14" t="s">
        <v>461</v>
      </c>
      <c r="D12" s="46" t="s">
        <v>166</v>
      </c>
      <c r="E12" s="25">
        <v>2</v>
      </c>
      <c r="F12" s="121">
        <f>E12</f>
        <v>2</v>
      </c>
      <c r="G12" s="25">
        <v>2</v>
      </c>
      <c r="H12" s="121">
        <f>G12</f>
        <v>2</v>
      </c>
      <c r="J12" s="169"/>
      <c r="K12" s="46" t="s">
        <v>459</v>
      </c>
      <c r="N12" s="103">
        <v>0</v>
      </c>
      <c r="O12" s="103">
        <v>1</v>
      </c>
      <c r="P12" s="103">
        <v>2</v>
      </c>
      <c r="Q12" s="103">
        <v>3</v>
      </c>
      <c r="R12" s="103">
        <v>4</v>
      </c>
      <c r="S12" s="103">
        <v>5</v>
      </c>
      <c r="T12" s="103">
        <v>6</v>
      </c>
      <c r="U12" s="108"/>
      <c r="V12" s="108"/>
    </row>
    <row r="13" spans="2:22" x14ac:dyDescent="0.3">
      <c r="C13" s="14" t="s">
        <v>462</v>
      </c>
      <c r="D13" s="46" t="s">
        <v>166</v>
      </c>
      <c r="E13" s="117">
        <f>HLOOKUP(E12,$N12:$T13,2,FALSE)</f>
        <v>0.95</v>
      </c>
      <c r="F13" s="117">
        <f>HLOOKUP(F12,$N12:$T13,2,FALSE)</f>
        <v>0.95</v>
      </c>
      <c r="G13" s="117">
        <f>HLOOKUP(G12,$N12:$T13,2,FALSE)</f>
        <v>0.95</v>
      </c>
      <c r="H13" s="117">
        <f>HLOOKUP(H12,$N12:$T13,2,FALSE)</f>
        <v>0.95</v>
      </c>
      <c r="K13" s="46" t="s">
        <v>459</v>
      </c>
      <c r="N13" s="107">
        <v>1</v>
      </c>
      <c r="O13" s="116">
        <v>0.97499999999999998</v>
      </c>
      <c r="P13" s="116">
        <v>0.95</v>
      </c>
      <c r="Q13" s="116">
        <v>0.92500000000000004</v>
      </c>
      <c r="R13" s="116">
        <v>0.9</v>
      </c>
      <c r="S13" s="116">
        <v>0.875</v>
      </c>
      <c r="T13" s="116">
        <v>0.85</v>
      </c>
      <c r="U13" s="108"/>
      <c r="V13" s="108"/>
    </row>
    <row r="14" spans="2:22" x14ac:dyDescent="0.3">
      <c r="C14" s="14" t="s">
        <v>463</v>
      </c>
      <c r="D14" s="46" t="s">
        <v>464</v>
      </c>
      <c r="E14" s="25" t="s">
        <v>465</v>
      </c>
      <c r="F14" s="113" t="str">
        <f>E14</f>
        <v>solid</v>
      </c>
      <c r="G14" s="25" t="s">
        <v>465</v>
      </c>
      <c r="H14" s="113" t="str">
        <f>G14</f>
        <v>solid</v>
      </c>
      <c r="J14" s="169"/>
      <c r="K14" s="46" t="s">
        <v>459</v>
      </c>
      <c r="R14" s="103" t="s">
        <v>465</v>
      </c>
      <c r="S14" s="103" t="s">
        <v>466</v>
      </c>
      <c r="T14" s="103" t="s">
        <v>467</v>
      </c>
      <c r="U14" s="108"/>
      <c r="V14" s="108"/>
    </row>
    <row r="15" spans="2:22" x14ac:dyDescent="0.3">
      <c r="C15" s="36" t="s">
        <v>468</v>
      </c>
      <c r="D15" s="46" t="s">
        <v>166</v>
      </c>
      <c r="E15" s="117">
        <f>HLOOKUP(E14,$N14:$T15,2,FALSE)</f>
        <v>0.98</v>
      </c>
      <c r="F15" s="117">
        <f>HLOOKUP(F14,$N14:$T15,2,FALSE)</f>
        <v>0.98</v>
      </c>
      <c r="G15" s="117">
        <f>HLOOKUP(G14,$N14:$T15,2,FALSE)</f>
        <v>0.98</v>
      </c>
      <c r="H15" s="117">
        <f>HLOOKUP(H14,$N14:$T15,2,FALSE)</f>
        <v>0.98</v>
      </c>
      <c r="K15" s="46" t="s">
        <v>459</v>
      </c>
      <c r="R15" s="107">
        <v>0.98</v>
      </c>
      <c r="S15" s="107">
        <v>0.96</v>
      </c>
      <c r="T15" s="107">
        <v>0.93</v>
      </c>
      <c r="U15" s="108"/>
      <c r="V15" s="108"/>
    </row>
    <row r="16" spans="2:22" x14ac:dyDescent="0.3">
      <c r="C16" s="14" t="s">
        <v>469</v>
      </c>
      <c r="D16" s="46" t="s">
        <v>166</v>
      </c>
      <c r="E16" s="25">
        <v>1</v>
      </c>
      <c r="F16" s="25">
        <v>1</v>
      </c>
      <c r="G16" s="25">
        <v>0</v>
      </c>
      <c r="H16" s="25">
        <v>0</v>
      </c>
      <c r="J16" s="169"/>
      <c r="K16" s="46" t="s">
        <v>459</v>
      </c>
      <c r="Q16" s="103">
        <v>0</v>
      </c>
      <c r="R16" s="103">
        <v>1</v>
      </c>
      <c r="S16" s="103">
        <v>2</v>
      </c>
      <c r="T16" s="103">
        <v>3</v>
      </c>
      <c r="U16" s="108"/>
      <c r="V16" s="108"/>
    </row>
    <row r="17" spans="3:22" x14ac:dyDescent="0.3">
      <c r="C17" s="14" t="s">
        <v>470</v>
      </c>
      <c r="D17" s="46" t="s">
        <v>166</v>
      </c>
      <c r="E17" s="117">
        <f>HLOOKUP(E16,$Q16:$T17,2,FALSE)</f>
        <v>0.92</v>
      </c>
      <c r="F17" s="117">
        <f>HLOOKUP(F16,$Q16:$T17,2,FALSE)</f>
        <v>0.92</v>
      </c>
      <c r="G17" s="117">
        <f>HLOOKUP(G16,$Q16:$T17,2,FALSE)</f>
        <v>1</v>
      </c>
      <c r="H17" s="117">
        <f>HLOOKUP(H16,$Q16:$T17,2,FALSE)</f>
        <v>1</v>
      </c>
      <c r="K17" s="46" t="s">
        <v>459</v>
      </c>
      <c r="Q17" s="107">
        <v>1</v>
      </c>
      <c r="R17" s="116">
        <v>0.92</v>
      </c>
      <c r="S17" s="116">
        <v>0.85</v>
      </c>
      <c r="T17" s="116">
        <v>0.8</v>
      </c>
      <c r="U17" s="108"/>
      <c r="V17" s="108"/>
    </row>
    <row r="18" spans="3:22" ht="17.25" thickBot="1" x14ac:dyDescent="0.35">
      <c r="C18" s="36" t="s">
        <v>471</v>
      </c>
      <c r="D18" s="46" t="s">
        <v>184</v>
      </c>
      <c r="E18" s="120">
        <f>E9*E11*E13*E15*E17</f>
        <v>17.130400000000002</v>
      </c>
      <c r="F18" s="120">
        <f>F9*F11*F13*F15*F17</f>
        <v>17.130400000000002</v>
      </c>
      <c r="G18" s="120">
        <f>G9*G11*G13*G15*G17</f>
        <v>18.62</v>
      </c>
      <c r="H18" s="120">
        <f>H9*H11*H13*H15*H17</f>
        <v>18.62</v>
      </c>
      <c r="K18" s="46"/>
      <c r="V18" s="113"/>
    </row>
    <row r="19" spans="3:22" ht="18" thickTop="1" thickBot="1" x14ac:dyDescent="0.35">
      <c r="C19" s="36"/>
      <c r="D19" s="46"/>
      <c r="E19" s="117"/>
      <c r="F19" s="117"/>
      <c r="G19" s="117"/>
      <c r="H19" s="117"/>
      <c r="V19" s="113"/>
    </row>
    <row r="20" spans="3:22" ht="17.25" thickTop="1" x14ac:dyDescent="0.3">
      <c r="C20" s="27" t="s">
        <v>472</v>
      </c>
    </row>
    <row r="21" spans="3:22" x14ac:dyDescent="0.3">
      <c r="C21" s="14" t="str">
        <f>'Model homes'!C31</f>
        <v>Useful space heat (SPH) demand (see, e.g. Energy Performance Certificate)</v>
      </c>
      <c r="D21" s="14" t="str">
        <f>'Model homes'!D31</f>
        <v>kWh/m².a</v>
      </c>
      <c r="E21" s="42">
        <f>'Model homes'!E31</f>
        <v>145</v>
      </c>
      <c r="F21" s="42">
        <f>'Model homes'!F31</f>
        <v>55</v>
      </c>
      <c r="G21" s="42">
        <f>'Model homes'!G31</f>
        <v>95</v>
      </c>
      <c r="H21" s="42">
        <f>'Model homes'!H31</f>
        <v>45</v>
      </c>
    </row>
    <row r="22" spans="3:22" x14ac:dyDescent="0.3">
      <c r="C22" s="14" t="s">
        <v>473</v>
      </c>
      <c r="D22" s="46" t="s">
        <v>188</v>
      </c>
      <c r="E22" s="93">
        <v>0.05</v>
      </c>
      <c r="F22" s="93">
        <v>0.04</v>
      </c>
      <c r="G22" s="93">
        <v>4.4999999999999998E-2</v>
      </c>
      <c r="H22" s="93">
        <v>3.5000000000000003E-2</v>
      </c>
    </row>
    <row r="23" spans="3:22" x14ac:dyDescent="0.3">
      <c r="C23" s="14" t="s">
        <v>474</v>
      </c>
      <c r="D23" s="46" t="s">
        <v>188</v>
      </c>
      <c r="E23" s="111">
        <v>0.7</v>
      </c>
      <c r="F23" s="118">
        <f>E23</f>
        <v>0.7</v>
      </c>
      <c r="G23" s="118">
        <f t="shared" ref="G23:H23" si="2">F23</f>
        <v>0.7</v>
      </c>
      <c r="H23" s="118">
        <f t="shared" si="2"/>
        <v>0.7</v>
      </c>
    </row>
    <row r="24" spans="3:22" x14ac:dyDescent="0.3">
      <c r="C24" s="14" t="s">
        <v>475</v>
      </c>
      <c r="D24" s="46" t="s">
        <v>188</v>
      </c>
      <c r="E24" s="119">
        <f>(E9-E18)*E22*E23</f>
        <v>0.10043599999999993</v>
      </c>
      <c r="F24" s="119">
        <f>(F9-F18)*F22*F23</f>
        <v>8.0348799999999956E-2</v>
      </c>
      <c r="G24" s="119">
        <f>(G9-G18)*G22*G23</f>
        <v>4.3469999999999967E-2</v>
      </c>
      <c r="H24" s="119">
        <f>(H9-H18)*H22*H23</f>
        <v>3.3809999999999972E-2</v>
      </c>
    </row>
    <row r="25" spans="3:22" x14ac:dyDescent="0.3">
      <c r="C25" s="14" t="s">
        <v>476</v>
      </c>
      <c r="D25" s="46" t="s">
        <v>191</v>
      </c>
      <c r="E25" s="42">
        <f>'Model homes'!E35*E24</f>
        <v>2265.3897777777761</v>
      </c>
      <c r="F25" s="42">
        <f>'Model homes'!F35*F24</f>
        <v>661.69599999999957</v>
      </c>
      <c r="G25" s="42">
        <f>'Model homes'!G35*G24</f>
        <v>356.00431034482733</v>
      </c>
      <c r="H25" s="42">
        <f>'Model homes'!H35*H24</f>
        <v>118.8632812499999</v>
      </c>
    </row>
    <row r="26" spans="3:22" ht="17.25" thickBot="1" x14ac:dyDescent="0.35"/>
    <row r="27" spans="3:22" ht="17.25" thickTop="1" x14ac:dyDescent="0.3">
      <c r="C27" s="27" t="s">
        <v>477</v>
      </c>
      <c r="D27" s="22"/>
      <c r="E27" s="23"/>
      <c r="F27" s="24"/>
    </row>
    <row r="28" spans="3:22" x14ac:dyDescent="0.3">
      <c r="C28" s="20" t="s">
        <v>14</v>
      </c>
      <c r="D28" s="15" t="s">
        <v>191</v>
      </c>
      <c r="E28" s="42">
        <f>E$25/(1-'Model homes'!E$34)/'Model homes'!E38</f>
        <v>2594.948199058163</v>
      </c>
      <c r="F28" s="42">
        <f>F$25/(1-'Model homes'!F$34)/'Model homes'!F38</f>
        <v>722.13903743315461</v>
      </c>
      <c r="G28" s="42">
        <f>G$25/(1-'Model homes'!G$34)/'Model homes'!G38</f>
        <v>421.85603785380653</v>
      </c>
      <c r="H28" s="42">
        <f>H$25/(1-'Model homes'!H$34)/'Model homes'!H38</f>
        <v>126.3427734374999</v>
      </c>
    </row>
    <row r="29" spans="3:22" x14ac:dyDescent="0.3">
      <c r="C29" s="14" t="s">
        <v>15</v>
      </c>
      <c r="D29" s="15" t="s">
        <v>191</v>
      </c>
      <c r="E29" s="42">
        <f>E$25/(1-'Model homes'!E$34)/'Model homes'!E39</f>
        <v>3872.461158594489</v>
      </c>
      <c r="F29" s="42">
        <f>F$25/(1-'Model homes'!F$34)/'Model homes'!F39</f>
        <v>1010.9946524064164</v>
      </c>
      <c r="G29" s="42">
        <f>G$25/(1-'Model homes'!G$34)/'Model homes'!G39</f>
        <v>610.74680107192876</v>
      </c>
      <c r="H29" s="42">
        <f>H$25/(1-'Model homes'!H$34)/'Model homes'!H39</f>
        <v>176.87988281249986</v>
      </c>
    </row>
    <row r="30" spans="3:22" x14ac:dyDescent="0.3">
      <c r="C30" s="15" t="s">
        <v>16</v>
      </c>
      <c r="D30" s="15" t="s">
        <v>191</v>
      </c>
      <c r="E30" s="42">
        <f>E$25/(1-'Model homes'!E$34)/'Model homes'!E40</f>
        <v>3146.3746913580221</v>
      </c>
      <c r="F30" s="42">
        <f>F$25/(1-'Model homes'!F$34)/'Model homes'!F40</f>
        <v>842.4955436720137</v>
      </c>
      <c r="G30" s="42">
        <f>G$25/(1-'Model homes'!G$34)/'Model homes'!G40</f>
        <v>499.02482526608821</v>
      </c>
      <c r="H30" s="42">
        <f>H$25/(1-'Model homes'!H$34)/'Model homes'!H40</f>
        <v>147.39990234374989</v>
      </c>
    </row>
    <row r="31" spans="3:22" x14ac:dyDescent="0.3">
      <c r="C31" s="15" t="s">
        <v>17</v>
      </c>
      <c r="D31" s="15" t="s">
        <v>191</v>
      </c>
      <c r="E31" s="42">
        <f>E$25/(1-'Model homes'!E$34)/'Model homes'!E41</f>
        <v>3872.461158594489</v>
      </c>
      <c r="F31" s="42">
        <f>F$25/(1-'Model homes'!F$34)/'Model homes'!F41</f>
        <v>1010.9946524064164</v>
      </c>
      <c r="G31" s="42">
        <f>G$25/(1-'Model homes'!G$34)/'Model homes'!G41</f>
        <v>629.53901033568047</v>
      </c>
      <c r="H31" s="42">
        <f>H$25/(1-'Model homes'!H$34)/'Model homes'!H41</f>
        <v>176.87988281249986</v>
      </c>
      <c r="J31" s="26"/>
    </row>
    <row r="32" spans="3:22" x14ac:dyDescent="0.3">
      <c r="C32" s="15" t="s">
        <v>18</v>
      </c>
      <c r="D32" s="15" t="s">
        <v>191</v>
      </c>
      <c r="E32" s="42">
        <f>E$25/(1-'Model homes'!E$34)/'Model homes'!E42</f>
        <v>3146.3746913580221</v>
      </c>
      <c r="F32" s="42">
        <f>F$25/(1-'Model homes'!F$34)/'Model homes'!F42</f>
        <v>832.5838313935194</v>
      </c>
      <c r="G32" s="42">
        <f>G$25/(1-'Model homes'!G$34)/'Model homes'!G42</f>
        <v>511.50044589774041</v>
      </c>
      <c r="H32" s="42">
        <f>H$25/(1-'Model homes'!H$34)/'Model homes'!H42</f>
        <v>145.66578584558812</v>
      </c>
      <c r="J32" s="26"/>
    </row>
    <row r="33" spans="3:15" x14ac:dyDescent="0.3">
      <c r="C33" s="15" t="s">
        <v>19</v>
      </c>
      <c r="D33" s="15" t="s">
        <v>191</v>
      </c>
      <c r="E33" s="42">
        <f>E$25/(1-'Model homes'!E$34)/'Model homes'!E43</f>
        <v>3146.3746913580221</v>
      </c>
      <c r="F33" s="42">
        <f>F$25/(1-'Model homes'!F$34)/'Model homes'!F43</f>
        <v>822.90262405173428</v>
      </c>
      <c r="G33" s="42">
        <f>G$25/(1-'Model homes'!G$34)/'Model homes'!G43</f>
        <v>511.50044589774041</v>
      </c>
      <c r="H33" s="42">
        <f>H$25/(1-'Model homes'!H$34)/'Model homes'!H43</f>
        <v>143.97199763808129</v>
      </c>
      <c r="J33" s="26"/>
    </row>
    <row r="34" spans="3:15" ht="15.95" customHeight="1" x14ac:dyDescent="0.3">
      <c r="C34" s="14" t="s">
        <v>20</v>
      </c>
      <c r="D34" s="15" t="s">
        <v>191</v>
      </c>
      <c r="E34" s="42">
        <f>E$25/(1-'Model homes'!E$34)/'Model homes'!E44</f>
        <v>2961.2938271604917</v>
      </c>
      <c r="F34" s="42">
        <f>F$25/(1-'Model homes'!F$34)/'Model homes'!F44</f>
        <v>813.44397320056487</v>
      </c>
      <c r="G34" s="42">
        <f>G$25/(1-'Model homes'!G$34)/'Model homes'!G44</f>
        <v>470.34523760711761</v>
      </c>
      <c r="H34" s="42">
        <f>H$25/(1-'Model homes'!H$34)/'Model homes'!H44</f>
        <v>142.31714709051712</v>
      </c>
      <c r="J34" s="26"/>
    </row>
    <row r="35" spans="3:15" ht="15.95" customHeight="1" x14ac:dyDescent="0.3">
      <c r="C35" s="14" t="s">
        <v>21</v>
      </c>
      <c r="D35" s="15" t="s">
        <v>191</v>
      </c>
      <c r="E35" s="42">
        <f>E$25/(1-'Model homes'!E$34)/'Model homes'!E45</f>
        <v>2517.0997530864179</v>
      </c>
      <c r="F35" s="42">
        <f>F$25/(1-'Model homes'!F$34)/'Model homes'!F45</f>
        <v>707.69625668449146</v>
      </c>
      <c r="G35" s="42">
        <f>G$25/(1-'Model homes'!G$34)/'Model homes'!G45</f>
        <v>409.20035671819232</v>
      </c>
      <c r="H35" s="42">
        <f>H$25/(1-'Model homes'!H$34)/'Model homes'!H45</f>
        <v>123.8159179687499</v>
      </c>
      <c r="J35" s="17" t="s">
        <v>478</v>
      </c>
      <c r="K35" s="17" t="s">
        <v>479</v>
      </c>
    </row>
    <row r="36" spans="3:15" ht="17.25" thickBot="1" x14ac:dyDescent="0.35">
      <c r="C36" s="14" t="s">
        <v>22</v>
      </c>
      <c r="D36" s="33" t="s">
        <v>191</v>
      </c>
      <c r="E36" s="42">
        <f>E$25/(1-'Model homes'!E$34)/'Model homes'!E46</f>
        <v>868.61095153361441</v>
      </c>
      <c r="F36" s="42">
        <f>F$25/(1-'Model homes'!F$34)/'Model homes'!F46</f>
        <v>216.9849016355945</v>
      </c>
      <c r="G36" s="42">
        <f>G$25/(1-'Model homes'!G$34)/'Model homes'!G46</f>
        <v>125.46385304865625</v>
      </c>
      <c r="H36" s="42">
        <f>H$25/(1-'Model homes'!H$34)/'Model homes'!H46</f>
        <v>35.272736426977822</v>
      </c>
      <c r="J36" s="214">
        <f>AVERAGE(E28:H36)</f>
        <v>1069.8321565294095</v>
      </c>
      <c r="K36" s="214" t="e">
        <f>AVERAGEIFS($E$28:$H$36,$J$98:$M$106,"yes")</f>
        <v>#DIV/0!</v>
      </c>
    </row>
    <row r="37" spans="3:15" ht="18" thickTop="1" thickBot="1" x14ac:dyDescent="0.35">
      <c r="C37" s="84"/>
      <c r="D37" s="84"/>
      <c r="M37" s="20"/>
      <c r="N37" s="20"/>
      <c r="O37" s="20"/>
    </row>
    <row r="38" spans="3:15" ht="17.25" thickTop="1" x14ac:dyDescent="0.3">
      <c r="C38" s="95" t="s">
        <v>480</v>
      </c>
      <c r="D38" s="22"/>
      <c r="E38" s="23"/>
      <c r="F38" s="24"/>
    </row>
    <row r="39" spans="3:15" x14ac:dyDescent="0.3">
      <c r="C39" s="20" t="s">
        <v>14</v>
      </c>
      <c r="D39" s="15" t="s">
        <v>301</v>
      </c>
      <c r="E39" s="104">
        <f>E28/('Model homes'!E48*'Model homes'!$E$21)</f>
        <v>0.11159555555555549</v>
      </c>
      <c r="F39" s="104">
        <f>F28/('Model homes'!F48*'Model homes'!$E$21)</f>
        <v>8.5934545454545402E-2</v>
      </c>
      <c r="G39" s="104">
        <f>G28/('Model homes'!G48*'Model homes'!G$21)</f>
        <v>4.9965517241379277E-3</v>
      </c>
      <c r="H39" s="104">
        <f>H28/('Model homes'!H48*'Model homes'!H$21)</f>
        <v>3.5218749999999972E-3</v>
      </c>
      <c r="J39" s="26"/>
    </row>
    <row r="40" spans="3:15" x14ac:dyDescent="0.3">
      <c r="C40" s="14" t="s">
        <v>15</v>
      </c>
      <c r="D40" s="15" t="s">
        <v>301</v>
      </c>
      <c r="E40" s="104">
        <f>E29/('Model homes'!E49*'Model homes'!$E$21)</f>
        <v>0.11159555555555549</v>
      </c>
      <c r="F40" s="104">
        <f>F29/('Model homes'!F49*'Model homes'!$E$21)</f>
        <v>8.5934545454545402E-2</v>
      </c>
      <c r="G40" s="104">
        <f>G29/('Model homes'!G49*'Model homes'!G$21)</f>
        <v>4.9965517241379268E-3</v>
      </c>
      <c r="H40" s="104">
        <f>H29/('Model homes'!H49*'Model homes'!H$21)</f>
        <v>3.5218749999999972E-3</v>
      </c>
      <c r="J40" s="26"/>
    </row>
    <row r="41" spans="3:15" x14ac:dyDescent="0.3">
      <c r="C41" s="15" t="s">
        <v>16</v>
      </c>
      <c r="D41" s="15" t="s">
        <v>301</v>
      </c>
      <c r="E41" s="104">
        <f>E30/('Model homes'!E50*'Model homes'!$E$21)</f>
        <v>0.11159555555555548</v>
      </c>
      <c r="F41" s="104">
        <f>F30/('Model homes'!F50*'Model homes'!$E$21)</f>
        <v>8.5934545454545416E-2</v>
      </c>
      <c r="G41" s="104">
        <f>G30/('Model homes'!G50*'Model homes'!G$21)</f>
        <v>4.9965517241379268E-3</v>
      </c>
      <c r="H41" s="104">
        <f>H30/('Model homes'!H50*'Model homes'!H$21)</f>
        <v>3.5218749999999977E-3</v>
      </c>
      <c r="J41" s="26"/>
    </row>
    <row r="42" spans="3:15" x14ac:dyDescent="0.3">
      <c r="C42" s="15" t="s">
        <v>17</v>
      </c>
      <c r="D42" s="15" t="s">
        <v>301</v>
      </c>
      <c r="E42" s="104">
        <f>E31/('Model homes'!E51*'Model homes'!$E$21)</f>
        <v>0.11159555555555549</v>
      </c>
      <c r="F42" s="104">
        <f>F31/('Model homes'!F51*'Model homes'!$E$21)</f>
        <v>8.5934545454545402E-2</v>
      </c>
      <c r="G42" s="104">
        <f>G31/('Model homes'!G51*'Model homes'!G$21)</f>
        <v>4.9965517241379268E-3</v>
      </c>
      <c r="H42" s="104">
        <f>H31/('Model homes'!H51*'Model homes'!H$21)</f>
        <v>3.5218749999999972E-3</v>
      </c>
      <c r="J42" s="26"/>
    </row>
    <row r="43" spans="3:15" x14ac:dyDescent="0.3">
      <c r="C43" s="15" t="s">
        <v>18</v>
      </c>
      <c r="D43" s="15" t="s">
        <v>301</v>
      </c>
      <c r="E43" s="104">
        <f>E32/('Model homes'!E52*'Model homes'!$E$21)</f>
        <v>0.11159555555555548</v>
      </c>
      <c r="F43" s="104">
        <f>F32/('Model homes'!F52*'Model homes'!$E$21)</f>
        <v>8.5934545454545416E-2</v>
      </c>
      <c r="G43" s="104">
        <f>G32/('Model homes'!G52*'Model homes'!G$21)</f>
        <v>4.9965517241379277E-3</v>
      </c>
      <c r="H43" s="104">
        <f>H32/('Model homes'!H52*'Model homes'!H$21)</f>
        <v>3.5218749999999968E-3</v>
      </c>
      <c r="J43" s="26"/>
    </row>
    <row r="44" spans="3:15" x14ac:dyDescent="0.3">
      <c r="C44" s="15" t="s">
        <v>19</v>
      </c>
      <c r="D44" s="15" t="s">
        <v>301</v>
      </c>
      <c r="E44" s="104">
        <f>E33/('Model homes'!E53*'Model homes'!$E$21)</f>
        <v>0.11159555555555548</v>
      </c>
      <c r="F44" s="104">
        <f>F33/('Model homes'!F53*'Model homes'!$E$21)</f>
        <v>8.5934545454545402E-2</v>
      </c>
      <c r="G44" s="104">
        <f>G33/('Model homes'!G53*'Model homes'!G$21)</f>
        <v>4.9965517241379277E-3</v>
      </c>
      <c r="H44" s="104">
        <f>H33/('Model homes'!H53*'Model homes'!H$21)</f>
        <v>3.5218749999999977E-3</v>
      </c>
      <c r="J44" s="26"/>
    </row>
    <row r="45" spans="3:15" ht="15.95" customHeight="1" x14ac:dyDescent="0.3">
      <c r="C45" s="14" t="s">
        <v>20</v>
      </c>
      <c r="D45" s="15" t="s">
        <v>301</v>
      </c>
      <c r="E45" s="104">
        <f>E34/('Model homes'!E54*'Model homes'!$E$21)</f>
        <v>0.11159555555555548</v>
      </c>
      <c r="F45" s="104">
        <f>F34/('Model homes'!F54*'Model homes'!$E$21)</f>
        <v>8.5934545454545389E-2</v>
      </c>
      <c r="G45" s="104">
        <f>G34/('Model homes'!G54*'Model homes'!G$21)</f>
        <v>4.9965517241379268E-3</v>
      </c>
      <c r="H45" s="104">
        <f>H34/('Model homes'!H54*'Model homes'!H$21)</f>
        <v>3.5218749999999972E-3</v>
      </c>
      <c r="J45" s="26"/>
    </row>
    <row r="46" spans="3:15" ht="15.95" customHeight="1" x14ac:dyDescent="0.3">
      <c r="C46" s="14" t="s">
        <v>21</v>
      </c>
      <c r="D46" s="15" t="s">
        <v>301</v>
      </c>
      <c r="E46" s="104">
        <f>E35/('Model homes'!E55*'Model homes'!$E$21)</f>
        <v>0.11159555555555548</v>
      </c>
      <c r="F46" s="104">
        <f>F35/('Model homes'!F55*'Model homes'!$E$21)</f>
        <v>8.5934545454545402E-2</v>
      </c>
      <c r="G46" s="104">
        <f>G35/('Model homes'!G55*'Model homes'!G$21)</f>
        <v>4.9965517241379268E-3</v>
      </c>
      <c r="H46" s="104">
        <f>H35/('Model homes'!H55*'Model homes'!H$21)</f>
        <v>3.5218749999999972E-3</v>
      </c>
      <c r="J46" s="26"/>
    </row>
    <row r="47" spans="3:15" x14ac:dyDescent="0.3">
      <c r="C47" s="14" t="s">
        <v>22</v>
      </c>
      <c r="D47" s="15" t="s">
        <v>301</v>
      </c>
      <c r="E47" s="104">
        <f>E36/('Model homes'!E56*'Model homes'!$E$21)</f>
        <v>0.11159555555555548</v>
      </c>
      <c r="F47" s="104">
        <f>F36/('Model homes'!F56*'Model homes'!$E$21)</f>
        <v>8.5934545454545389E-2</v>
      </c>
      <c r="G47" s="104">
        <f>G36/('Model homes'!G56*'Model homes'!G$21)</f>
        <v>4.9965517241379277E-3</v>
      </c>
      <c r="H47" s="104">
        <f>H36/('Model homes'!H56*'Model homes'!H$21)</f>
        <v>3.5218749999999972E-3</v>
      </c>
      <c r="J47" s="26" t="s">
        <v>39</v>
      </c>
    </row>
    <row r="48" spans="3:15" x14ac:dyDescent="0.3">
      <c r="C48" s="84"/>
      <c r="D48" s="84"/>
    </row>
    <row r="49" spans="2:15" ht="20.25" x14ac:dyDescent="0.35">
      <c r="C49" s="81" t="s">
        <v>481</v>
      </c>
    </row>
    <row r="50" spans="2:15" s="18" customFormat="1" ht="17.25" thickBot="1" x14ac:dyDescent="0.35">
      <c r="B50" s="19" t="s">
        <v>153</v>
      </c>
      <c r="C50" s="19" t="s">
        <v>154</v>
      </c>
      <c r="D50" s="19" t="s">
        <v>32</v>
      </c>
      <c r="E50" s="19" t="s">
        <v>155</v>
      </c>
      <c r="F50" s="19"/>
      <c r="G50" s="19" t="s">
        <v>155</v>
      </c>
      <c r="H50" s="19"/>
      <c r="I50" s="19"/>
      <c r="J50" s="56" t="s">
        <v>156</v>
      </c>
      <c r="K50" s="56"/>
    </row>
    <row r="51" spans="2:15" s="30" customFormat="1" ht="18" thickTop="1" thickBot="1" x14ac:dyDescent="0.35">
      <c r="B51" s="28"/>
      <c r="C51" s="29" t="s">
        <v>157</v>
      </c>
      <c r="D51" s="29"/>
      <c r="E51" s="335" t="s">
        <v>5</v>
      </c>
      <c r="F51" s="335"/>
      <c r="G51" s="335" t="s">
        <v>6</v>
      </c>
      <c r="H51" s="335"/>
      <c r="I51" s="28"/>
      <c r="J51" s="28"/>
      <c r="K51" s="57"/>
      <c r="M51" s="20"/>
    </row>
    <row r="52" spans="2:15" ht="18" thickTop="1" thickBot="1" x14ac:dyDescent="0.35">
      <c r="B52" s="19"/>
      <c r="C52" s="29" t="s">
        <v>158</v>
      </c>
      <c r="D52" s="29"/>
      <c r="E52" s="29" t="s">
        <v>7</v>
      </c>
      <c r="F52" s="29" t="s">
        <v>8</v>
      </c>
      <c r="G52" s="29" t="s">
        <v>7</v>
      </c>
      <c r="H52" s="29" t="s">
        <v>8</v>
      </c>
      <c r="I52" s="19"/>
      <c r="J52" s="19" t="s">
        <v>482</v>
      </c>
      <c r="K52" s="56" t="s">
        <v>483</v>
      </c>
      <c r="M52" s="82"/>
      <c r="N52" s="82"/>
    </row>
    <row r="53" spans="2:15" customFormat="1" ht="17.25" thickTop="1" x14ac:dyDescent="0.3">
      <c r="C53" s="15" t="s">
        <v>484</v>
      </c>
      <c r="D53" s="15" t="s">
        <v>485</v>
      </c>
      <c r="E53" s="38"/>
      <c r="F53" s="97">
        <f>E53</f>
        <v>0</v>
      </c>
      <c r="G53" s="38"/>
      <c r="H53" s="97">
        <f>G53</f>
        <v>0</v>
      </c>
      <c r="J53" s="83" t="s">
        <v>486</v>
      </c>
      <c r="K53" s="15" t="s">
        <v>485</v>
      </c>
      <c r="O53" s="17"/>
    </row>
    <row r="54" spans="2:15" customFormat="1" x14ac:dyDescent="0.3">
      <c r="C54" s="15" t="s">
        <v>487</v>
      </c>
      <c r="D54" s="15" t="s">
        <v>485</v>
      </c>
      <c r="E54" s="38"/>
      <c r="F54" s="97">
        <f>E54</f>
        <v>0</v>
      </c>
      <c r="G54" s="38"/>
      <c r="H54" s="97">
        <f>G54</f>
        <v>0</v>
      </c>
      <c r="J54" s="83" t="s">
        <v>212</v>
      </c>
      <c r="K54" s="15" t="s">
        <v>485</v>
      </c>
      <c r="O54" s="17"/>
    </row>
    <row r="55" spans="2:15" customFormat="1" x14ac:dyDescent="0.3">
      <c r="C55" s="15" t="s">
        <v>488</v>
      </c>
      <c r="D55" s="15" t="s">
        <v>485</v>
      </c>
      <c r="E55" s="97">
        <f>SUM(E53:E54)</f>
        <v>0</v>
      </c>
      <c r="F55" s="97">
        <f t="shared" ref="F55:H55" si="3">SUM(F53:F54)</f>
        <v>0</v>
      </c>
      <c r="G55" s="97">
        <f t="shared" si="3"/>
        <v>0</v>
      </c>
      <c r="H55" s="97">
        <f t="shared" si="3"/>
        <v>0</v>
      </c>
      <c r="O55" s="17"/>
    </row>
    <row r="56" spans="2:15" customFormat="1" x14ac:dyDescent="0.3">
      <c r="C56" s="15" t="s">
        <v>489</v>
      </c>
      <c r="D56" s="15" t="s">
        <v>485</v>
      </c>
      <c r="E56" s="38"/>
      <c r="F56" s="97">
        <f>E56</f>
        <v>0</v>
      </c>
      <c r="G56" s="38"/>
      <c r="H56" s="97">
        <f>G56</f>
        <v>0</v>
      </c>
      <c r="I56" s="17"/>
      <c r="J56" s="83" t="s">
        <v>490</v>
      </c>
      <c r="K56" s="15" t="s">
        <v>485</v>
      </c>
      <c r="M56" s="26"/>
      <c r="O56" s="17"/>
    </row>
    <row r="57" spans="2:15" customFormat="1" x14ac:dyDescent="0.3">
      <c r="C57" s="105" t="s">
        <v>491</v>
      </c>
      <c r="D57" s="15" t="s">
        <v>485</v>
      </c>
      <c r="E57" s="97">
        <f>E55+E56</f>
        <v>0</v>
      </c>
      <c r="F57" s="97">
        <f t="shared" ref="F57:H57" si="4">F55+F56</f>
        <v>0</v>
      </c>
      <c r="G57" s="97">
        <f t="shared" si="4"/>
        <v>0</v>
      </c>
      <c r="H57" s="97">
        <f t="shared" si="4"/>
        <v>0</v>
      </c>
      <c r="I57" s="17"/>
      <c r="K57" s="15"/>
      <c r="O57" s="17"/>
    </row>
    <row r="58" spans="2:15" customFormat="1" x14ac:dyDescent="0.3">
      <c r="C58" s="15" t="s">
        <v>492</v>
      </c>
      <c r="D58" s="15" t="s">
        <v>493</v>
      </c>
      <c r="E58" s="25"/>
      <c r="F58" s="42">
        <f>E58</f>
        <v>0</v>
      </c>
      <c r="G58" s="42">
        <f t="shared" ref="G58:H60" si="5">F58</f>
        <v>0</v>
      </c>
      <c r="H58" s="42">
        <f t="shared" si="5"/>
        <v>0</v>
      </c>
      <c r="I58" s="17"/>
      <c r="J58" s="83" t="s">
        <v>494</v>
      </c>
      <c r="K58" s="15" t="s">
        <v>493</v>
      </c>
      <c r="M58" s="26" t="s">
        <v>495</v>
      </c>
      <c r="N58" s="17"/>
      <c r="O58" s="17"/>
    </row>
    <row r="59" spans="2:15" customFormat="1" x14ac:dyDescent="0.3">
      <c r="C59" s="105" t="s">
        <v>496</v>
      </c>
      <c r="D59" s="15" t="s">
        <v>69</v>
      </c>
      <c r="E59" s="42">
        <f>E57*E58</f>
        <v>0</v>
      </c>
      <c r="F59" s="42">
        <f t="shared" ref="F59:H59" si="6">F57*F58</f>
        <v>0</v>
      </c>
      <c r="G59" s="42">
        <f t="shared" si="6"/>
        <v>0</v>
      </c>
      <c r="H59" s="42">
        <f t="shared" si="6"/>
        <v>0</v>
      </c>
      <c r="I59" s="17"/>
      <c r="K59" s="15"/>
      <c r="O59" s="17"/>
    </row>
    <row r="60" spans="2:15" customFormat="1" x14ac:dyDescent="0.3">
      <c r="C60" s="15" t="s">
        <v>497</v>
      </c>
      <c r="D60" s="15" t="s">
        <v>69</v>
      </c>
      <c r="E60" s="25"/>
      <c r="F60" s="42">
        <f>E60</f>
        <v>0</v>
      </c>
      <c r="G60" s="25"/>
      <c r="H60" s="42">
        <f t="shared" si="5"/>
        <v>0</v>
      </c>
      <c r="I60" s="17"/>
      <c r="J60" s="83" t="s">
        <v>498</v>
      </c>
      <c r="K60" s="83" t="s">
        <v>499</v>
      </c>
      <c r="L60" s="15" t="s">
        <v>69</v>
      </c>
      <c r="M60" s="26" t="s">
        <v>500</v>
      </c>
      <c r="O60" s="17"/>
    </row>
    <row r="61" spans="2:15" customFormat="1" ht="15" x14ac:dyDescent="0.25">
      <c r="C61" s="105" t="s">
        <v>501</v>
      </c>
      <c r="D61" s="15" t="s">
        <v>502</v>
      </c>
      <c r="E61" s="42">
        <f>E60</f>
        <v>0</v>
      </c>
      <c r="F61" s="42">
        <f t="shared" ref="F61:H61" si="7">F60</f>
        <v>0</v>
      </c>
      <c r="G61" s="42">
        <f t="shared" si="7"/>
        <v>0</v>
      </c>
      <c r="H61" s="42">
        <f t="shared" si="7"/>
        <v>0</v>
      </c>
      <c r="I61" s="42"/>
    </row>
    <row r="62" spans="2:15" x14ac:dyDescent="0.3">
      <c r="C62" s="84" t="s">
        <v>503</v>
      </c>
      <c r="D62" s="84" t="s">
        <v>69</v>
      </c>
      <c r="E62" s="91">
        <f>E59+E61</f>
        <v>0</v>
      </c>
      <c r="F62" s="91">
        <f>F59+F61</f>
        <v>0</v>
      </c>
      <c r="G62" s="91">
        <f>G59+G61</f>
        <v>0</v>
      </c>
      <c r="H62" s="91">
        <f>H59+H61</f>
        <v>0</v>
      </c>
    </row>
    <row r="63" spans="2:15" x14ac:dyDescent="0.3">
      <c r="C63" s="84"/>
      <c r="D63" s="84"/>
      <c r="E63" s="91"/>
      <c r="F63" s="91"/>
      <c r="G63" s="91"/>
      <c r="H63" s="91"/>
    </row>
    <row r="64" spans="2:15" x14ac:dyDescent="0.3">
      <c r="C64" s="84" t="s">
        <v>504</v>
      </c>
      <c r="D64" s="84" t="s">
        <v>505</v>
      </c>
      <c r="E64" s="25"/>
      <c r="F64" s="91">
        <f>E64</f>
        <v>0</v>
      </c>
      <c r="G64" s="25"/>
      <c r="H64" s="91">
        <f t="shared" ref="H64" si="8">G64</f>
        <v>0</v>
      </c>
      <c r="J64" s="83" t="s">
        <v>506</v>
      </c>
      <c r="K64" s="84" t="s">
        <v>505</v>
      </c>
      <c r="M64" s="26" t="s">
        <v>507</v>
      </c>
    </row>
    <row r="65" spans="3:19" x14ac:dyDescent="0.3">
      <c r="C65" s="84" t="s">
        <v>508</v>
      </c>
      <c r="D65" s="84" t="s">
        <v>301</v>
      </c>
      <c r="E65" s="94">
        <f>'Model homes'!E171</f>
        <v>0.02</v>
      </c>
      <c r="F65" s="94"/>
      <c r="G65" s="94"/>
      <c r="H65" s="94"/>
    </row>
    <row r="66" spans="3:19" x14ac:dyDescent="0.3">
      <c r="C66" s="84" t="s">
        <v>509</v>
      </c>
      <c r="D66" s="84" t="s">
        <v>301</v>
      </c>
      <c r="E66" s="63">
        <f>IF($E65=E$68,1,(1-(((1+$E65)/(1+E$68))^E69))/(E68-$E65))</f>
        <v>2.8294976103777958</v>
      </c>
      <c r="F66" s="63">
        <f>IF($E65=F$68,1,(1-(((1+$E65)/(1+F$68))^F69))/(F68-$E65))</f>
        <v>2.8294976103777958</v>
      </c>
      <c r="G66" s="63">
        <f>IF($E65=G$68,1,(1-(((1+$E65)/(1+G$68))^G69))/(G68-$E65))</f>
        <v>2.8294976103777958</v>
      </c>
      <c r="H66" s="63">
        <f>IF($E65=H$68,1,(1-(((1+$E65)/(1+H$68))^H69))/(H68-$E65))</f>
        <v>2.8294976103777958</v>
      </c>
    </row>
    <row r="67" spans="3:19" x14ac:dyDescent="0.3">
      <c r="C67" s="84" t="s">
        <v>510</v>
      </c>
      <c r="D67" s="84" t="s">
        <v>505</v>
      </c>
      <c r="E67" s="63">
        <f>-PMT(E68,E69,E64*E66)</f>
        <v>0</v>
      </c>
      <c r="F67" s="63">
        <f>-PMT(F68,F69,F64*F66)</f>
        <v>0</v>
      </c>
      <c r="G67" s="63">
        <f>-PMT(G68,G69,G64*G66)</f>
        <v>0</v>
      </c>
      <c r="H67" s="63">
        <f>-PMT(H68,H69,H64*H66)</f>
        <v>0</v>
      </c>
    </row>
    <row r="68" spans="3:19" x14ac:dyDescent="0.3">
      <c r="C68" s="84" t="s">
        <v>302</v>
      </c>
      <c r="D68" s="84" t="s">
        <v>301</v>
      </c>
      <c r="E68" s="94">
        <f>'Model homes'!$E169</f>
        <v>0.04</v>
      </c>
      <c r="F68" s="94">
        <f>'Model homes'!$E169</f>
        <v>0.04</v>
      </c>
      <c r="G68" s="94">
        <f>'Model homes'!$E169</f>
        <v>0.04</v>
      </c>
      <c r="H68" s="94">
        <f>'Model homes'!$E169</f>
        <v>0.04</v>
      </c>
    </row>
    <row r="69" spans="3:19" x14ac:dyDescent="0.3">
      <c r="C69" s="84" t="s">
        <v>511</v>
      </c>
      <c r="D69" s="84" t="s">
        <v>512</v>
      </c>
      <c r="E69" s="25">
        <v>3</v>
      </c>
      <c r="F69" s="91">
        <f>E69</f>
        <v>3</v>
      </c>
      <c r="G69" s="91">
        <f t="shared" ref="G69:H69" si="9">F69</f>
        <v>3</v>
      </c>
      <c r="H69" s="91">
        <f t="shared" si="9"/>
        <v>3</v>
      </c>
      <c r="J69" s="83" t="s">
        <v>513</v>
      </c>
      <c r="K69" s="15" t="s">
        <v>514</v>
      </c>
    </row>
    <row r="70" spans="3:19" x14ac:dyDescent="0.3">
      <c r="C70" s="84"/>
      <c r="D70" s="84"/>
      <c r="E70" s="91"/>
      <c r="F70" s="91"/>
      <c r="G70" s="91"/>
      <c r="H70" s="91"/>
    </row>
    <row r="71" spans="3:19" x14ac:dyDescent="0.3">
      <c r="C71" s="51" t="s">
        <v>515</v>
      </c>
      <c r="D71" s="84"/>
      <c r="E71" s="91"/>
      <c r="F71" s="91"/>
      <c r="G71" s="91"/>
      <c r="H71" s="91"/>
    </row>
    <row r="72" spans="3:19" x14ac:dyDescent="0.3">
      <c r="C72" s="20" t="s">
        <v>14</v>
      </c>
      <c r="D72" s="15" t="s">
        <v>299</v>
      </c>
      <c r="E72" s="42" t="e">
        <f>'Model homes'!E$127*E28*10^-3/'Model homes'!E$21</f>
        <v>#VALUE!</v>
      </c>
      <c r="F72" s="42" t="e">
        <f>'Model homes'!F$127*F28*10^-3/'Model homes'!F$21</f>
        <v>#VALUE!</v>
      </c>
      <c r="G72" s="42" t="e">
        <f>'Model homes'!G$127*G28*10^-3/'Model homes'!G$21</f>
        <v>#VALUE!</v>
      </c>
      <c r="H72" s="42" t="e">
        <f>'Model homes'!H$127*H28*10^-3/'Model homes'!H$21</f>
        <v>#VALUE!</v>
      </c>
      <c r="J72" s="26" t="s">
        <v>516</v>
      </c>
      <c r="P72" s="209"/>
    </row>
    <row r="73" spans="3:19" x14ac:dyDescent="0.3">
      <c r="C73" s="14" t="s">
        <v>15</v>
      </c>
      <c r="D73" s="15" t="s">
        <v>299</v>
      </c>
      <c r="E73" s="42" t="e">
        <f>'Model homes'!E149*E40</f>
        <v>#VALUE!</v>
      </c>
      <c r="F73" s="42" t="e">
        <f>'Model homes'!F149*F40</f>
        <v>#VALUE!</v>
      </c>
      <c r="G73" s="42" t="e">
        <f>'Model homes'!G149*G40</f>
        <v>#VALUE!</v>
      </c>
      <c r="H73" s="42" t="e">
        <f>'Model homes'!H149*H40</f>
        <v>#VALUE!</v>
      </c>
      <c r="J73" s="26"/>
      <c r="P73" s="42"/>
      <c r="Q73" s="42"/>
      <c r="R73" s="42"/>
      <c r="S73" s="42"/>
    </row>
    <row r="74" spans="3:19" x14ac:dyDescent="0.3">
      <c r="C74" s="15" t="s">
        <v>16</v>
      </c>
      <c r="D74" s="15" t="s">
        <v>299</v>
      </c>
      <c r="E74" s="42" t="e">
        <f>'Model homes'!E150*E41</f>
        <v>#VALUE!</v>
      </c>
      <c r="F74" s="42" t="e">
        <f>'Model homes'!F150*F41</f>
        <v>#VALUE!</v>
      </c>
      <c r="G74" s="42" t="e">
        <f>'Model homes'!G150*G41</f>
        <v>#VALUE!</v>
      </c>
      <c r="H74" s="42" t="e">
        <f>'Model homes'!H150*H41</f>
        <v>#VALUE!</v>
      </c>
      <c r="J74" s="26"/>
      <c r="P74" s="42"/>
      <c r="Q74" s="42"/>
      <c r="R74" s="42"/>
      <c r="S74" s="42"/>
    </row>
    <row r="75" spans="3:19" x14ac:dyDescent="0.3">
      <c r="C75" s="15" t="s">
        <v>17</v>
      </c>
      <c r="D75" s="15" t="s">
        <v>299</v>
      </c>
      <c r="E75" s="42" t="e">
        <f>'Model homes'!E151*E42</f>
        <v>#VALUE!</v>
      </c>
      <c r="F75" s="42" t="e">
        <f>'Model homes'!F151*F42</f>
        <v>#VALUE!</v>
      </c>
      <c r="G75" s="42" t="e">
        <f>'Model homes'!G151*G42</f>
        <v>#VALUE!</v>
      </c>
      <c r="H75" s="42" t="e">
        <f>'Model homes'!H151*H42</f>
        <v>#VALUE!</v>
      </c>
      <c r="J75" s="26"/>
      <c r="P75" s="42"/>
      <c r="Q75" s="42"/>
      <c r="R75" s="42"/>
      <c r="S75" s="42"/>
    </row>
    <row r="76" spans="3:19" x14ac:dyDescent="0.3">
      <c r="C76" s="15" t="s">
        <v>18</v>
      </c>
      <c r="D76" s="15" t="s">
        <v>299</v>
      </c>
      <c r="E76" s="42" t="e">
        <f>'Model homes'!E152*E43</f>
        <v>#VALUE!</v>
      </c>
      <c r="F76" s="42" t="e">
        <f>'Model homes'!F152*F43</f>
        <v>#VALUE!</v>
      </c>
      <c r="G76" s="42" t="e">
        <f>'Model homes'!G152*G43</f>
        <v>#VALUE!</v>
      </c>
      <c r="H76" s="42" t="e">
        <f>'Model homes'!H152*H43</f>
        <v>#VALUE!</v>
      </c>
      <c r="J76" s="26"/>
      <c r="P76" s="42"/>
      <c r="Q76" s="42"/>
      <c r="R76" s="42"/>
      <c r="S76" s="42"/>
    </row>
    <row r="77" spans="3:19" x14ac:dyDescent="0.3">
      <c r="C77" s="15" t="s">
        <v>19</v>
      </c>
      <c r="D77" s="15" t="s">
        <v>299</v>
      </c>
      <c r="E77" s="42" t="e">
        <f>'Model homes'!E153*E44</f>
        <v>#VALUE!</v>
      </c>
      <c r="F77" s="42" t="e">
        <f>'Model homes'!F153*F44</f>
        <v>#VALUE!</v>
      </c>
      <c r="G77" s="42" t="e">
        <f>'Model homes'!G153*G44</f>
        <v>#VALUE!</v>
      </c>
      <c r="H77" s="42" t="e">
        <f>'Model homes'!H153*H44</f>
        <v>#VALUE!</v>
      </c>
      <c r="J77" s="26"/>
      <c r="P77" s="42"/>
      <c r="Q77" s="42"/>
      <c r="R77" s="42"/>
      <c r="S77" s="42"/>
    </row>
    <row r="78" spans="3:19" ht="15.95" customHeight="1" x14ac:dyDescent="0.3">
      <c r="C78" s="14" t="s">
        <v>20</v>
      </c>
      <c r="D78" s="15" t="s">
        <v>299</v>
      </c>
      <c r="E78" s="42" t="e">
        <f>'Model homes'!E154*E45</f>
        <v>#VALUE!</v>
      </c>
      <c r="F78" s="42" t="e">
        <f>'Model homes'!F154*F45</f>
        <v>#VALUE!</v>
      </c>
      <c r="G78" s="42" t="e">
        <f>'Model homes'!G154*G45</f>
        <v>#VALUE!</v>
      </c>
      <c r="H78" s="42" t="e">
        <f>'Model homes'!H154*H45</f>
        <v>#VALUE!</v>
      </c>
      <c r="J78" s="26"/>
      <c r="P78" s="42"/>
      <c r="Q78" s="42"/>
      <c r="R78" s="42"/>
      <c r="S78" s="42"/>
    </row>
    <row r="79" spans="3:19" ht="15.95" customHeight="1" x14ac:dyDescent="0.3">
      <c r="C79" s="14" t="s">
        <v>21</v>
      </c>
      <c r="D79" s="15" t="s">
        <v>299</v>
      </c>
      <c r="E79" s="42" t="e">
        <f>'Model homes'!E155*E46</f>
        <v>#VALUE!</v>
      </c>
      <c r="F79" s="42" t="e">
        <f>'Model homes'!F155*F46</f>
        <v>#VALUE!</v>
      </c>
      <c r="G79" s="42" t="e">
        <f>'Model homes'!G155*G46</f>
        <v>#VALUE!</v>
      </c>
      <c r="H79" s="42" t="e">
        <f>'Model homes'!H155*H46</f>
        <v>#VALUE!</v>
      </c>
      <c r="J79" s="26"/>
      <c r="K79" s="17" t="s">
        <v>478</v>
      </c>
      <c r="L79" s="17" t="s">
        <v>479</v>
      </c>
      <c r="P79" s="42"/>
      <c r="Q79" s="42"/>
      <c r="R79" s="42"/>
      <c r="S79" s="42"/>
    </row>
    <row r="80" spans="3:19" x14ac:dyDescent="0.3">
      <c r="C80" s="14" t="s">
        <v>22</v>
      </c>
      <c r="D80" s="15" t="s">
        <v>299</v>
      </c>
      <c r="E80" s="42" t="e">
        <f>'Model homes'!E156*E47</f>
        <v>#VALUE!</v>
      </c>
      <c r="F80" s="42" t="e">
        <f>'Model homes'!F156*F47</f>
        <v>#VALUE!</v>
      </c>
      <c r="G80" s="42" t="e">
        <f>'Model homes'!G156*G47</f>
        <v>#VALUE!</v>
      </c>
      <c r="H80" s="42" t="e">
        <f>'Model homes'!H156*H47</f>
        <v>#VALUE!</v>
      </c>
      <c r="J80" s="45" t="e">
        <f>ROUND(MIN(E72:H80),0)&amp;" - "&amp;ROUND(MAX(E72:H80),0)</f>
        <v>#VALUE!</v>
      </c>
      <c r="K80" s="214" t="e">
        <f>AVERAGE(E72:H80)</f>
        <v>#VALUE!</v>
      </c>
      <c r="L80" s="214" t="e">
        <f>AVERAGEIFS($E$72:$H$80,$J$98:$M$106,"yes")</f>
        <v>#DIV/0!</v>
      </c>
      <c r="P80" s="42"/>
      <c r="Q80" s="42"/>
      <c r="R80" s="42"/>
      <c r="S80" s="42"/>
    </row>
    <row r="81" spans="2:19" x14ac:dyDescent="0.3">
      <c r="C81" s="20"/>
      <c r="D81" s="15"/>
      <c r="E81" s="42"/>
      <c r="F81" s="55"/>
      <c r="G81" s="42"/>
      <c r="H81" s="42"/>
      <c r="J81" s="26"/>
      <c r="P81" s="42"/>
      <c r="Q81" s="42"/>
      <c r="R81" s="42"/>
      <c r="S81" s="42"/>
    </row>
    <row r="82" spans="2:19" x14ac:dyDescent="0.3">
      <c r="C82" s="51" t="s">
        <v>517</v>
      </c>
      <c r="D82" s="84"/>
      <c r="E82" s="91"/>
      <c r="F82" s="91"/>
      <c r="G82" s="91"/>
      <c r="H82" s="91"/>
      <c r="J82" s="51" t="s">
        <v>509</v>
      </c>
    </row>
    <row r="83" spans="2:19" x14ac:dyDescent="0.3">
      <c r="C83" s="20" t="s">
        <v>14</v>
      </c>
      <c r="D83" s="15" t="s">
        <v>299</v>
      </c>
      <c r="E83" s="55" t="e">
        <f>-PMT(E$68,E$69,E72*$J83)</f>
        <v>#VALUE!</v>
      </c>
      <c r="F83" s="55" t="e">
        <f>-PMT(F$68,F$69,F72*$J83)</f>
        <v>#VALUE!</v>
      </c>
      <c r="G83" s="55" t="e">
        <f t="shared" ref="G83:H83" si="10">-PMT(G$68,G$69,G72*$J83)</f>
        <v>#VALUE!</v>
      </c>
      <c r="H83" s="55" t="e">
        <f t="shared" si="10"/>
        <v>#VALUE!</v>
      </c>
      <c r="J83" s="63">
        <f>(1-(((1+'Model homes'!$E159)/(1+E$68))^E$69))/(E$68-'Model homes'!$E159)</f>
        <v>2.8432103792103223</v>
      </c>
    </row>
    <row r="84" spans="2:19" x14ac:dyDescent="0.3">
      <c r="C84" s="14" t="s">
        <v>15</v>
      </c>
      <c r="D84" s="15" t="s">
        <v>299</v>
      </c>
      <c r="E84" s="55" t="e">
        <f t="shared" ref="E84:H91" si="11">-PMT(E$68,E$69,E73*$J84)</f>
        <v>#VALUE!</v>
      </c>
      <c r="F84" s="55" t="e">
        <f t="shared" si="11"/>
        <v>#VALUE!</v>
      </c>
      <c r="G84" s="55" t="e">
        <f t="shared" si="11"/>
        <v>#VALUE!</v>
      </c>
      <c r="H84" s="55" t="e">
        <f t="shared" si="11"/>
        <v>#VALUE!</v>
      </c>
      <c r="J84" s="63">
        <f>(1-(((1+'Model homes'!$E160)/(1+E$68))^E$69))/(E$68-'Model homes'!$E160)</f>
        <v>2.8294976103777958</v>
      </c>
    </row>
    <row r="85" spans="2:19" x14ac:dyDescent="0.3">
      <c r="C85" s="15" t="s">
        <v>16</v>
      </c>
      <c r="D85" s="15" t="s">
        <v>299</v>
      </c>
      <c r="E85" s="55" t="e">
        <f t="shared" si="11"/>
        <v>#VALUE!</v>
      </c>
      <c r="F85" s="55" t="e">
        <f t="shared" si="11"/>
        <v>#VALUE!</v>
      </c>
      <c r="G85" s="55" t="e">
        <f t="shared" si="11"/>
        <v>#VALUE!</v>
      </c>
      <c r="H85" s="55" t="e">
        <f t="shared" si="11"/>
        <v>#VALUE!</v>
      </c>
      <c r="J85" s="63">
        <f>(1-(((1+'Model homes'!$E161)/(1+E$68))^E$69))/(E$68-'Model homes'!$E161)</f>
        <v>2.8432103792103223</v>
      </c>
    </row>
    <row r="86" spans="2:19" x14ac:dyDescent="0.3">
      <c r="C86" s="15" t="s">
        <v>17</v>
      </c>
      <c r="D86" s="15" t="s">
        <v>299</v>
      </c>
      <c r="E86" s="55" t="e">
        <f t="shared" si="11"/>
        <v>#VALUE!</v>
      </c>
      <c r="F86" s="55" t="e">
        <f t="shared" si="11"/>
        <v>#VALUE!</v>
      </c>
      <c r="G86" s="55" t="e">
        <f t="shared" si="11"/>
        <v>#VALUE!</v>
      </c>
      <c r="H86" s="55" t="e">
        <f t="shared" si="11"/>
        <v>#VALUE!</v>
      </c>
      <c r="J86" s="63">
        <f>(1-(((1+'Model homes'!$E162)/(1+E$68))^E$69))/(E$68-'Model homes'!$E162)</f>
        <v>2.8432103792103223</v>
      </c>
    </row>
    <row r="87" spans="2:19" x14ac:dyDescent="0.3">
      <c r="C87" s="15" t="s">
        <v>18</v>
      </c>
      <c r="D87" s="15" t="s">
        <v>299</v>
      </c>
      <c r="E87" s="55" t="e">
        <f t="shared" si="11"/>
        <v>#VALUE!</v>
      </c>
      <c r="F87" s="55" t="e">
        <f t="shared" si="11"/>
        <v>#VALUE!</v>
      </c>
      <c r="G87" s="55" t="e">
        <f t="shared" si="11"/>
        <v>#VALUE!</v>
      </c>
      <c r="H87" s="55" t="e">
        <f t="shared" si="11"/>
        <v>#VALUE!</v>
      </c>
      <c r="J87" s="63">
        <f>(1-(((1+'Model homes'!$E163)/(1+E$68))^E$69))/(E$68-'Model homes'!$E163)</f>
        <v>2.8432103792103223</v>
      </c>
    </row>
    <row r="88" spans="2:19" x14ac:dyDescent="0.3">
      <c r="C88" s="15" t="s">
        <v>19</v>
      </c>
      <c r="D88" s="15" t="s">
        <v>299</v>
      </c>
      <c r="E88" s="55" t="e">
        <f t="shared" si="11"/>
        <v>#VALUE!</v>
      </c>
      <c r="F88" s="55" t="e">
        <f t="shared" si="11"/>
        <v>#VALUE!</v>
      </c>
      <c r="G88" s="55" t="e">
        <f t="shared" si="11"/>
        <v>#VALUE!</v>
      </c>
      <c r="H88" s="55" t="e">
        <f t="shared" si="11"/>
        <v>#VALUE!</v>
      </c>
      <c r="J88" s="63">
        <f>(1-(((1+'Model homes'!$E164)/(1+E$68))^E$69))/(E$68-'Model homes'!$E164)</f>
        <v>2.8432103792103223</v>
      </c>
    </row>
    <row r="89" spans="2:19" ht="15.95" customHeight="1" x14ac:dyDescent="0.3">
      <c r="C89" s="14" t="s">
        <v>20</v>
      </c>
      <c r="D89" s="15" t="s">
        <v>299</v>
      </c>
      <c r="E89" s="55" t="e">
        <f t="shared" si="11"/>
        <v>#VALUE!</v>
      </c>
      <c r="F89" s="55" t="e">
        <f t="shared" si="11"/>
        <v>#VALUE!</v>
      </c>
      <c r="G89" s="55" t="e">
        <f t="shared" si="11"/>
        <v>#VALUE!</v>
      </c>
      <c r="H89" s="55" t="e">
        <f t="shared" si="11"/>
        <v>#VALUE!</v>
      </c>
      <c r="J89" s="63">
        <f>(1-(((1+'Model homes'!$E165)/(1+E$68))^E$69))/(E$68-'Model homes'!$E165)</f>
        <v>2.8542125981452227</v>
      </c>
    </row>
    <row r="90" spans="2:19" ht="15.95" customHeight="1" x14ac:dyDescent="0.3">
      <c r="C90" s="14" t="s">
        <v>21</v>
      </c>
      <c r="D90" s="15" t="s">
        <v>299</v>
      </c>
      <c r="E90" s="55" t="e">
        <f t="shared" si="11"/>
        <v>#VALUE!</v>
      </c>
      <c r="F90" s="55" t="e">
        <f t="shared" si="11"/>
        <v>#VALUE!</v>
      </c>
      <c r="G90" s="55" t="e">
        <f t="shared" si="11"/>
        <v>#VALUE!</v>
      </c>
      <c r="H90" s="55" t="e">
        <f t="shared" si="11"/>
        <v>#VALUE!</v>
      </c>
      <c r="J90" s="63">
        <f>(1-(((1+'Model homes'!$E166)/(1+E$68))^E$69))/(E$68-'Model homes'!$E166)</f>
        <v>2.8432103792103223</v>
      </c>
    </row>
    <row r="91" spans="2:19" x14ac:dyDescent="0.3">
      <c r="C91" s="14" t="s">
        <v>22</v>
      </c>
      <c r="D91" s="15" t="s">
        <v>299</v>
      </c>
      <c r="E91" s="55" t="e">
        <f t="shared" si="11"/>
        <v>#VALUE!</v>
      </c>
      <c r="F91" s="55" t="e">
        <f t="shared" si="11"/>
        <v>#VALUE!</v>
      </c>
      <c r="G91" s="55" t="e">
        <f t="shared" si="11"/>
        <v>#VALUE!</v>
      </c>
      <c r="H91" s="55" t="e">
        <f t="shared" si="11"/>
        <v>#VALUE!</v>
      </c>
      <c r="J91" s="63">
        <f>(1-(((1+'Model homes'!$E167)/(1+E$68))^E$69))/(E$68-'Model homes'!$E167)</f>
        <v>2.8432103792103223</v>
      </c>
    </row>
    <row r="92" spans="2:19" x14ac:dyDescent="0.3">
      <c r="C92" s="20"/>
      <c r="D92" s="15"/>
      <c r="E92" s="42"/>
      <c r="F92" s="55"/>
      <c r="G92" s="42"/>
      <c r="H92" s="42"/>
      <c r="J92" s="26"/>
    </row>
    <row r="93" spans="2:19" ht="20.25" x14ac:dyDescent="0.35">
      <c r="C93" s="81" t="s">
        <v>518</v>
      </c>
      <c r="D93" s="46"/>
      <c r="E93" s="55"/>
      <c r="F93" s="55"/>
      <c r="G93" s="55"/>
      <c r="H93" s="55"/>
      <c r="J93" s="26"/>
    </row>
    <row r="94" spans="2:19" s="18" customFormat="1" ht="17.25" thickBot="1" x14ac:dyDescent="0.35">
      <c r="B94" s="19" t="s">
        <v>153</v>
      </c>
      <c r="C94" s="19" t="s">
        <v>154</v>
      </c>
      <c r="D94" s="19" t="s">
        <v>32</v>
      </c>
      <c r="E94" s="19" t="s">
        <v>155</v>
      </c>
      <c r="F94" s="19"/>
      <c r="G94" s="19" t="s">
        <v>155</v>
      </c>
      <c r="H94" s="19"/>
      <c r="I94" s="19"/>
      <c r="J94" s="56" t="s">
        <v>156</v>
      </c>
      <c r="K94" s="56"/>
    </row>
    <row r="95" spans="2:19" s="30" customFormat="1" ht="18" thickTop="1" thickBot="1" x14ac:dyDescent="0.35">
      <c r="B95" s="28"/>
      <c r="C95" s="29" t="s">
        <v>157</v>
      </c>
      <c r="D95" s="29"/>
      <c r="E95" s="335" t="s">
        <v>5</v>
      </c>
      <c r="F95" s="335"/>
      <c r="G95" s="335" t="s">
        <v>6</v>
      </c>
      <c r="H95" s="335"/>
      <c r="I95" s="28"/>
      <c r="J95" s="28"/>
      <c r="K95" s="57"/>
      <c r="M95" s="20"/>
    </row>
    <row r="96" spans="2:19" ht="18" thickTop="1" thickBot="1" x14ac:dyDescent="0.35">
      <c r="B96" s="19"/>
      <c r="C96" s="29" t="s">
        <v>158</v>
      </c>
      <c r="D96" s="29"/>
      <c r="E96" s="29" t="s">
        <v>7</v>
      </c>
      <c r="F96" s="29" t="s">
        <v>8</v>
      </c>
      <c r="G96" s="29" t="s">
        <v>7</v>
      </c>
      <c r="H96" s="29" t="s">
        <v>8</v>
      </c>
      <c r="I96" s="19"/>
      <c r="J96" s="19"/>
      <c r="K96" s="56"/>
      <c r="M96" s="82"/>
      <c r="N96" s="82"/>
    </row>
    <row r="97" spans="3:16" ht="17.25" thickTop="1" x14ac:dyDescent="0.3">
      <c r="C97" s="51" t="s">
        <v>519</v>
      </c>
      <c r="D97" s="84"/>
      <c r="E97" s="90"/>
      <c r="F97" s="90"/>
      <c r="G97" s="90"/>
      <c r="H97" s="90"/>
      <c r="J97" s="20" t="s">
        <v>520</v>
      </c>
    </row>
    <row r="98" spans="3:16" x14ac:dyDescent="0.3">
      <c r="C98" s="20" t="s">
        <v>14</v>
      </c>
      <c r="D98" s="84" t="s">
        <v>512</v>
      </c>
      <c r="E98" s="42" t="e">
        <f t="shared" ref="E98:H106" si="12">IF(E$62/(E72-E$64)&lt;0,"-",E$62/(E72-E$64))</f>
        <v>#VALUE!</v>
      </c>
      <c r="F98" s="42" t="e">
        <f t="shared" si="12"/>
        <v>#VALUE!</v>
      </c>
      <c r="G98" s="42" t="e">
        <f t="shared" si="12"/>
        <v>#VALUE!</v>
      </c>
      <c r="H98" s="42" t="e">
        <f t="shared" si="12"/>
        <v>#VALUE!</v>
      </c>
      <c r="J98" s="42" t="e">
        <f t="shared" ref="J98:M106" si="13">IF(E98&lt;E$69,"yes","no")</f>
        <v>#VALUE!</v>
      </c>
      <c r="K98" s="42" t="e">
        <f t="shared" si="13"/>
        <v>#VALUE!</v>
      </c>
      <c r="L98" s="42" t="e">
        <f t="shared" si="13"/>
        <v>#VALUE!</v>
      </c>
      <c r="M98" s="42" t="e">
        <f t="shared" si="13"/>
        <v>#VALUE!</v>
      </c>
    </row>
    <row r="99" spans="3:16" x14ac:dyDescent="0.3">
      <c r="C99" s="14" t="s">
        <v>15</v>
      </c>
      <c r="D99" s="84" t="s">
        <v>512</v>
      </c>
      <c r="E99" s="42" t="e">
        <f t="shared" si="12"/>
        <v>#VALUE!</v>
      </c>
      <c r="F99" s="42" t="e">
        <f t="shared" si="12"/>
        <v>#VALUE!</v>
      </c>
      <c r="G99" s="42" t="e">
        <f t="shared" si="12"/>
        <v>#VALUE!</v>
      </c>
      <c r="H99" s="42" t="e">
        <f t="shared" si="12"/>
        <v>#VALUE!</v>
      </c>
      <c r="J99" s="42" t="e">
        <f t="shared" si="13"/>
        <v>#VALUE!</v>
      </c>
      <c r="K99" s="42" t="e">
        <f t="shared" si="13"/>
        <v>#VALUE!</v>
      </c>
      <c r="L99" s="42" t="e">
        <f t="shared" si="13"/>
        <v>#VALUE!</v>
      </c>
      <c r="M99" s="42" t="e">
        <f t="shared" si="13"/>
        <v>#VALUE!</v>
      </c>
    </row>
    <row r="100" spans="3:16" x14ac:dyDescent="0.3">
      <c r="C100" s="15" t="s">
        <v>16</v>
      </c>
      <c r="D100" s="84" t="s">
        <v>512</v>
      </c>
      <c r="E100" s="42" t="e">
        <f t="shared" si="12"/>
        <v>#VALUE!</v>
      </c>
      <c r="F100" s="42" t="e">
        <f t="shared" si="12"/>
        <v>#VALUE!</v>
      </c>
      <c r="G100" s="42" t="e">
        <f t="shared" si="12"/>
        <v>#VALUE!</v>
      </c>
      <c r="H100" s="42" t="e">
        <f t="shared" si="12"/>
        <v>#VALUE!</v>
      </c>
      <c r="J100" s="42" t="e">
        <f t="shared" si="13"/>
        <v>#VALUE!</v>
      </c>
      <c r="K100" s="42" t="e">
        <f t="shared" si="13"/>
        <v>#VALUE!</v>
      </c>
      <c r="L100" s="42" t="e">
        <f t="shared" si="13"/>
        <v>#VALUE!</v>
      </c>
      <c r="M100" s="42" t="e">
        <f t="shared" si="13"/>
        <v>#VALUE!</v>
      </c>
    </row>
    <row r="101" spans="3:16" x14ac:dyDescent="0.3">
      <c r="C101" s="15" t="s">
        <v>17</v>
      </c>
      <c r="D101" s="84" t="s">
        <v>512</v>
      </c>
      <c r="E101" s="42" t="e">
        <f t="shared" si="12"/>
        <v>#VALUE!</v>
      </c>
      <c r="F101" s="42" t="e">
        <f t="shared" si="12"/>
        <v>#VALUE!</v>
      </c>
      <c r="G101" s="42" t="e">
        <f t="shared" si="12"/>
        <v>#VALUE!</v>
      </c>
      <c r="H101" s="42" t="e">
        <f t="shared" si="12"/>
        <v>#VALUE!</v>
      </c>
      <c r="J101" s="42" t="e">
        <f t="shared" si="13"/>
        <v>#VALUE!</v>
      </c>
      <c r="K101" s="42" t="e">
        <f t="shared" si="13"/>
        <v>#VALUE!</v>
      </c>
      <c r="L101" s="42" t="e">
        <f t="shared" si="13"/>
        <v>#VALUE!</v>
      </c>
      <c r="M101" s="42" t="e">
        <f t="shared" si="13"/>
        <v>#VALUE!</v>
      </c>
    </row>
    <row r="102" spans="3:16" x14ac:dyDescent="0.3">
      <c r="C102" s="15" t="s">
        <v>18</v>
      </c>
      <c r="D102" s="84" t="s">
        <v>512</v>
      </c>
      <c r="E102" s="42" t="e">
        <f t="shared" si="12"/>
        <v>#VALUE!</v>
      </c>
      <c r="F102" s="42" t="e">
        <f t="shared" si="12"/>
        <v>#VALUE!</v>
      </c>
      <c r="G102" s="42" t="e">
        <f t="shared" si="12"/>
        <v>#VALUE!</v>
      </c>
      <c r="H102" s="42" t="e">
        <f t="shared" si="12"/>
        <v>#VALUE!</v>
      </c>
      <c r="J102" s="42" t="e">
        <f t="shared" si="13"/>
        <v>#VALUE!</v>
      </c>
      <c r="K102" s="42" t="e">
        <f t="shared" si="13"/>
        <v>#VALUE!</v>
      </c>
      <c r="L102" s="42" t="e">
        <f t="shared" si="13"/>
        <v>#VALUE!</v>
      </c>
      <c r="M102" s="42" t="e">
        <f t="shared" si="13"/>
        <v>#VALUE!</v>
      </c>
    </row>
    <row r="103" spans="3:16" x14ac:dyDescent="0.3">
      <c r="C103" s="15" t="s">
        <v>19</v>
      </c>
      <c r="D103" s="84" t="s">
        <v>512</v>
      </c>
      <c r="E103" s="42" t="e">
        <f t="shared" si="12"/>
        <v>#VALUE!</v>
      </c>
      <c r="F103" s="42" t="e">
        <f t="shared" si="12"/>
        <v>#VALUE!</v>
      </c>
      <c r="G103" s="42" t="e">
        <f t="shared" si="12"/>
        <v>#VALUE!</v>
      </c>
      <c r="H103" s="42" t="e">
        <f t="shared" si="12"/>
        <v>#VALUE!</v>
      </c>
      <c r="J103" s="42" t="e">
        <f t="shared" si="13"/>
        <v>#VALUE!</v>
      </c>
      <c r="K103" s="42" t="e">
        <f t="shared" si="13"/>
        <v>#VALUE!</v>
      </c>
      <c r="L103" s="42" t="e">
        <f t="shared" si="13"/>
        <v>#VALUE!</v>
      </c>
      <c r="M103" s="42" t="e">
        <f t="shared" si="13"/>
        <v>#VALUE!</v>
      </c>
    </row>
    <row r="104" spans="3:16" ht="15.95" customHeight="1" x14ac:dyDescent="0.3">
      <c r="C104" s="14" t="s">
        <v>20</v>
      </c>
      <c r="D104" s="84" t="s">
        <v>512</v>
      </c>
      <c r="E104" s="42" t="e">
        <f t="shared" si="12"/>
        <v>#VALUE!</v>
      </c>
      <c r="F104" s="42" t="e">
        <f t="shared" si="12"/>
        <v>#VALUE!</v>
      </c>
      <c r="G104" s="42" t="e">
        <f t="shared" si="12"/>
        <v>#VALUE!</v>
      </c>
      <c r="H104" s="42" t="e">
        <f t="shared" si="12"/>
        <v>#VALUE!</v>
      </c>
      <c r="J104" s="42" t="e">
        <f t="shared" si="13"/>
        <v>#VALUE!</v>
      </c>
      <c r="K104" s="42" t="e">
        <f t="shared" si="13"/>
        <v>#VALUE!</v>
      </c>
      <c r="L104" s="42" t="e">
        <f t="shared" si="13"/>
        <v>#VALUE!</v>
      </c>
      <c r="M104" s="42" t="e">
        <f t="shared" si="13"/>
        <v>#VALUE!</v>
      </c>
      <c r="O104" s="169"/>
      <c r="P104" s="169"/>
    </row>
    <row r="105" spans="3:16" ht="15.95" customHeight="1" x14ac:dyDescent="0.3">
      <c r="C105" s="14" t="s">
        <v>21</v>
      </c>
      <c r="D105" s="84" t="s">
        <v>512</v>
      </c>
      <c r="E105" s="42" t="e">
        <f t="shared" si="12"/>
        <v>#VALUE!</v>
      </c>
      <c r="F105" s="42" t="e">
        <f t="shared" si="12"/>
        <v>#VALUE!</v>
      </c>
      <c r="G105" s="42" t="e">
        <f t="shared" si="12"/>
        <v>#VALUE!</v>
      </c>
      <c r="H105" s="42" t="e">
        <f t="shared" si="12"/>
        <v>#VALUE!</v>
      </c>
      <c r="J105" s="42" t="e">
        <f t="shared" si="13"/>
        <v>#VALUE!</v>
      </c>
      <c r="K105" s="42" t="e">
        <f t="shared" si="13"/>
        <v>#VALUE!</v>
      </c>
      <c r="L105" s="42" t="e">
        <f t="shared" si="13"/>
        <v>#VALUE!</v>
      </c>
      <c r="M105" s="42" t="e">
        <f t="shared" si="13"/>
        <v>#VALUE!</v>
      </c>
      <c r="O105" s="17" t="s">
        <v>7</v>
      </c>
      <c r="P105" s="17" t="s">
        <v>8</v>
      </c>
    </row>
    <row r="106" spans="3:16" x14ac:dyDescent="0.3">
      <c r="C106" s="14" t="s">
        <v>22</v>
      </c>
      <c r="D106" s="84" t="s">
        <v>512</v>
      </c>
      <c r="E106" s="42" t="e">
        <f t="shared" si="12"/>
        <v>#VALUE!</v>
      </c>
      <c r="F106" s="42" t="e">
        <f t="shared" si="12"/>
        <v>#VALUE!</v>
      </c>
      <c r="G106" s="42" t="e">
        <f t="shared" si="12"/>
        <v>#VALUE!</v>
      </c>
      <c r="H106" s="42" t="e">
        <f t="shared" si="12"/>
        <v>#VALUE!</v>
      </c>
      <c r="J106" s="42" t="e">
        <f t="shared" si="13"/>
        <v>#VALUE!</v>
      </c>
      <c r="K106" s="42" t="e">
        <f t="shared" si="13"/>
        <v>#VALUE!</v>
      </c>
      <c r="L106" s="42" t="e">
        <f t="shared" si="13"/>
        <v>#VALUE!</v>
      </c>
      <c r="M106" s="42" t="e">
        <f t="shared" si="13"/>
        <v>#VALUE!</v>
      </c>
      <c r="O106" s="17" t="str">
        <f>IF((COUNTIF(J98:J106,"yes")+COUNTIF(L98:L106,"yes"))&gt;=(COUNTIF(J98:J106,"no")+COUNTIF(L98:L106,"no")),"yes","no")</f>
        <v>yes</v>
      </c>
      <c r="P106" s="17" t="str">
        <f>IF((COUNTIF(K98:K106,"yes")+COUNTIF(M98:M106,"yes"))&gt;=(COUNTIF(K98:K106,"no")+COUNTIF(M98:M106,"no")),"yes","no")</f>
        <v>yes</v>
      </c>
    </row>
    <row r="107" spans="3:16" x14ac:dyDescent="0.3">
      <c r="C107" s="20"/>
      <c r="D107" s="96"/>
      <c r="E107" s="55"/>
      <c r="F107" s="55"/>
      <c r="G107" s="55"/>
      <c r="H107" s="55"/>
      <c r="J107" s="26"/>
    </row>
    <row r="108" spans="3:16" x14ac:dyDescent="0.3">
      <c r="C108" s="51" t="s">
        <v>521</v>
      </c>
      <c r="D108" s="84"/>
      <c r="E108" s="90"/>
      <c r="F108" s="90"/>
      <c r="G108" s="90"/>
      <c r="H108" s="90"/>
      <c r="J108" s="20" t="s">
        <v>520</v>
      </c>
    </row>
    <row r="109" spans="3:16" x14ac:dyDescent="0.3">
      <c r="C109" s="20" t="s">
        <v>14</v>
      </c>
      <c r="D109" s="84" t="s">
        <v>512</v>
      </c>
      <c r="E109" s="42" t="e">
        <f t="shared" ref="E109:H117" si="14">IF((E$62)/(E83-E$67)&lt;0,"-",(E$62)/(E83-E$67))</f>
        <v>#VALUE!</v>
      </c>
      <c r="F109" s="42" t="e">
        <f t="shared" si="14"/>
        <v>#VALUE!</v>
      </c>
      <c r="G109" s="42" t="e">
        <f t="shared" si="14"/>
        <v>#VALUE!</v>
      </c>
      <c r="H109" s="42" t="e">
        <f t="shared" si="14"/>
        <v>#VALUE!</v>
      </c>
      <c r="J109" s="42" t="e">
        <f t="shared" ref="J109:M117" si="15">IF(E109&lt;E$69,"yes","no")</f>
        <v>#VALUE!</v>
      </c>
      <c r="K109" s="42" t="e">
        <f t="shared" si="15"/>
        <v>#VALUE!</v>
      </c>
      <c r="L109" s="42" t="e">
        <f t="shared" si="15"/>
        <v>#VALUE!</v>
      </c>
      <c r="M109" s="42" t="e">
        <f t="shared" si="15"/>
        <v>#VALUE!</v>
      </c>
    </row>
    <row r="110" spans="3:16" x14ac:dyDescent="0.3">
      <c r="C110" s="14" t="s">
        <v>15</v>
      </c>
      <c r="D110" s="84" t="s">
        <v>512</v>
      </c>
      <c r="E110" s="42" t="e">
        <f t="shared" si="14"/>
        <v>#VALUE!</v>
      </c>
      <c r="F110" s="42" t="e">
        <f t="shared" si="14"/>
        <v>#VALUE!</v>
      </c>
      <c r="G110" s="42" t="e">
        <f t="shared" si="14"/>
        <v>#VALUE!</v>
      </c>
      <c r="H110" s="42" t="e">
        <f t="shared" si="14"/>
        <v>#VALUE!</v>
      </c>
      <c r="J110" s="42" t="e">
        <f t="shared" si="15"/>
        <v>#VALUE!</v>
      </c>
      <c r="K110" s="42" t="e">
        <f t="shared" si="15"/>
        <v>#VALUE!</v>
      </c>
      <c r="L110" s="42" t="e">
        <f t="shared" si="15"/>
        <v>#VALUE!</v>
      </c>
      <c r="M110" s="42" t="e">
        <f t="shared" si="15"/>
        <v>#VALUE!</v>
      </c>
    </row>
    <row r="111" spans="3:16" x14ac:dyDescent="0.3">
      <c r="C111" s="15" t="s">
        <v>16</v>
      </c>
      <c r="D111" s="84" t="s">
        <v>512</v>
      </c>
      <c r="E111" s="42" t="e">
        <f t="shared" si="14"/>
        <v>#VALUE!</v>
      </c>
      <c r="F111" s="42" t="e">
        <f t="shared" si="14"/>
        <v>#VALUE!</v>
      </c>
      <c r="G111" s="42" t="e">
        <f t="shared" si="14"/>
        <v>#VALUE!</v>
      </c>
      <c r="H111" s="42" t="e">
        <f t="shared" si="14"/>
        <v>#VALUE!</v>
      </c>
      <c r="J111" s="42" t="e">
        <f t="shared" si="15"/>
        <v>#VALUE!</v>
      </c>
      <c r="K111" s="42" t="e">
        <f t="shared" si="15"/>
        <v>#VALUE!</v>
      </c>
      <c r="L111" s="42" t="e">
        <f t="shared" si="15"/>
        <v>#VALUE!</v>
      </c>
      <c r="M111" s="42" t="e">
        <f t="shared" si="15"/>
        <v>#VALUE!</v>
      </c>
    </row>
    <row r="112" spans="3:16" x14ac:dyDescent="0.3">
      <c r="C112" s="15" t="s">
        <v>17</v>
      </c>
      <c r="D112" s="84" t="s">
        <v>512</v>
      </c>
      <c r="E112" s="42" t="e">
        <f t="shared" si="14"/>
        <v>#VALUE!</v>
      </c>
      <c r="F112" s="42" t="e">
        <f t="shared" si="14"/>
        <v>#VALUE!</v>
      </c>
      <c r="G112" s="42" t="e">
        <f t="shared" si="14"/>
        <v>#VALUE!</v>
      </c>
      <c r="H112" s="42" t="e">
        <f t="shared" si="14"/>
        <v>#VALUE!</v>
      </c>
      <c r="J112" s="42" t="e">
        <f t="shared" si="15"/>
        <v>#VALUE!</v>
      </c>
      <c r="K112" s="42" t="e">
        <f t="shared" si="15"/>
        <v>#VALUE!</v>
      </c>
      <c r="L112" s="42" t="e">
        <f t="shared" si="15"/>
        <v>#VALUE!</v>
      </c>
      <c r="M112" s="42" t="e">
        <f t="shared" si="15"/>
        <v>#VALUE!</v>
      </c>
    </row>
    <row r="113" spans="3:40" x14ac:dyDescent="0.3">
      <c r="C113" s="15" t="s">
        <v>18</v>
      </c>
      <c r="D113" s="84" t="s">
        <v>512</v>
      </c>
      <c r="E113" s="42" t="e">
        <f t="shared" si="14"/>
        <v>#VALUE!</v>
      </c>
      <c r="F113" s="42" t="e">
        <f t="shared" si="14"/>
        <v>#VALUE!</v>
      </c>
      <c r="G113" s="42" t="e">
        <f t="shared" si="14"/>
        <v>#VALUE!</v>
      </c>
      <c r="H113" s="42" t="e">
        <f t="shared" si="14"/>
        <v>#VALUE!</v>
      </c>
      <c r="J113" s="42" t="e">
        <f t="shared" si="15"/>
        <v>#VALUE!</v>
      </c>
      <c r="K113" s="42" t="e">
        <f t="shared" si="15"/>
        <v>#VALUE!</v>
      </c>
      <c r="L113" s="42" t="e">
        <f t="shared" si="15"/>
        <v>#VALUE!</v>
      </c>
      <c r="M113" s="42" t="e">
        <f t="shared" si="15"/>
        <v>#VALUE!</v>
      </c>
    </row>
    <row r="114" spans="3:40" x14ac:dyDescent="0.3">
      <c r="C114" s="15" t="s">
        <v>19</v>
      </c>
      <c r="D114" s="84" t="s">
        <v>512</v>
      </c>
      <c r="E114" s="42" t="e">
        <f t="shared" si="14"/>
        <v>#VALUE!</v>
      </c>
      <c r="F114" s="42" t="e">
        <f t="shared" si="14"/>
        <v>#VALUE!</v>
      </c>
      <c r="G114" s="42" t="e">
        <f t="shared" si="14"/>
        <v>#VALUE!</v>
      </c>
      <c r="H114" s="42" t="e">
        <f t="shared" si="14"/>
        <v>#VALUE!</v>
      </c>
      <c r="J114" s="42" t="e">
        <f t="shared" si="15"/>
        <v>#VALUE!</v>
      </c>
      <c r="K114" s="42" t="e">
        <f t="shared" si="15"/>
        <v>#VALUE!</v>
      </c>
      <c r="L114" s="42" t="e">
        <f t="shared" si="15"/>
        <v>#VALUE!</v>
      </c>
      <c r="M114" s="42" t="e">
        <f t="shared" si="15"/>
        <v>#VALUE!</v>
      </c>
    </row>
    <row r="115" spans="3:40" ht="15.95" customHeight="1" x14ac:dyDescent="0.3">
      <c r="C115" s="14" t="s">
        <v>20</v>
      </c>
      <c r="D115" s="84" t="s">
        <v>512</v>
      </c>
      <c r="E115" s="42" t="e">
        <f t="shared" si="14"/>
        <v>#VALUE!</v>
      </c>
      <c r="F115" s="42" t="e">
        <f t="shared" si="14"/>
        <v>#VALUE!</v>
      </c>
      <c r="G115" s="42" t="e">
        <f t="shared" si="14"/>
        <v>#VALUE!</v>
      </c>
      <c r="H115" s="42" t="e">
        <f t="shared" si="14"/>
        <v>#VALUE!</v>
      </c>
      <c r="J115" s="42" t="e">
        <f t="shared" si="15"/>
        <v>#VALUE!</v>
      </c>
      <c r="K115" s="42" t="e">
        <f t="shared" si="15"/>
        <v>#VALUE!</v>
      </c>
      <c r="L115" s="42" t="e">
        <f t="shared" si="15"/>
        <v>#VALUE!</v>
      </c>
      <c r="M115" s="42" t="e">
        <f t="shared" si="15"/>
        <v>#VALUE!</v>
      </c>
    </row>
    <row r="116" spans="3:40" ht="15.95" customHeight="1" x14ac:dyDescent="0.3">
      <c r="C116" s="14" t="s">
        <v>21</v>
      </c>
      <c r="D116" s="84" t="s">
        <v>512</v>
      </c>
      <c r="E116" s="42" t="e">
        <f t="shared" si="14"/>
        <v>#VALUE!</v>
      </c>
      <c r="F116" s="42" t="e">
        <f t="shared" si="14"/>
        <v>#VALUE!</v>
      </c>
      <c r="G116" s="42" t="e">
        <f t="shared" si="14"/>
        <v>#VALUE!</v>
      </c>
      <c r="H116" s="42" t="e">
        <f t="shared" si="14"/>
        <v>#VALUE!</v>
      </c>
      <c r="J116" s="42" t="e">
        <f t="shared" si="15"/>
        <v>#VALUE!</v>
      </c>
      <c r="K116" s="42" t="e">
        <f t="shared" si="15"/>
        <v>#VALUE!</v>
      </c>
      <c r="L116" s="42" t="e">
        <f t="shared" si="15"/>
        <v>#VALUE!</v>
      </c>
      <c r="M116" s="42" t="e">
        <f t="shared" si="15"/>
        <v>#VALUE!</v>
      </c>
    </row>
    <row r="117" spans="3:40" x14ac:dyDescent="0.3">
      <c r="C117" s="14" t="s">
        <v>22</v>
      </c>
      <c r="D117" s="84" t="s">
        <v>512</v>
      </c>
      <c r="E117" s="42" t="e">
        <f t="shared" si="14"/>
        <v>#VALUE!</v>
      </c>
      <c r="F117" s="42" t="e">
        <f t="shared" si="14"/>
        <v>#VALUE!</v>
      </c>
      <c r="G117" s="42" t="e">
        <f t="shared" si="14"/>
        <v>#VALUE!</v>
      </c>
      <c r="H117" s="42" t="e">
        <f t="shared" si="14"/>
        <v>#VALUE!</v>
      </c>
      <c r="J117" s="42" t="e">
        <f t="shared" si="15"/>
        <v>#VALUE!</v>
      </c>
      <c r="K117" s="42" t="e">
        <f t="shared" si="15"/>
        <v>#VALUE!</v>
      </c>
      <c r="L117" s="42" t="e">
        <f t="shared" si="15"/>
        <v>#VALUE!</v>
      </c>
      <c r="M117" s="42" t="e">
        <f t="shared" si="15"/>
        <v>#VALUE!</v>
      </c>
    </row>
    <row r="119" spans="3:40" x14ac:dyDescent="0.3">
      <c r="C119" s="51" t="s">
        <v>522</v>
      </c>
      <c r="D119" s="84"/>
      <c r="E119" s="90"/>
      <c r="F119" s="90"/>
      <c r="G119" s="90"/>
      <c r="H119" s="90"/>
      <c r="J119" s="51" t="s">
        <v>523</v>
      </c>
      <c r="R119" s="51" t="s">
        <v>524</v>
      </c>
      <c r="Z119" s="51" t="s">
        <v>525</v>
      </c>
      <c r="AH119" s="51" t="s">
        <v>526</v>
      </c>
    </row>
    <row r="120" spans="3:40" ht="29.25" x14ac:dyDescent="0.3">
      <c r="C120" s="20" t="s">
        <v>14</v>
      </c>
      <c r="D120" s="84" t="s">
        <v>527</v>
      </c>
      <c r="E120" s="97" t="e">
        <f>E28*'Model homes'!$J110*10^-6</f>
        <v>#VALUE!</v>
      </c>
      <c r="F120" s="97" t="e">
        <f>F28*'Model homes'!$J110*10^-6</f>
        <v>#VALUE!</v>
      </c>
      <c r="G120" s="97" t="e">
        <f>G28*'Model homes'!$J110*10^-6</f>
        <v>#VALUE!</v>
      </c>
      <c r="H120" s="97" t="e">
        <f>H28*'Model homes'!$J110*10^-6</f>
        <v>#VALUE!</v>
      </c>
      <c r="J120" s="209" t="s">
        <v>14</v>
      </c>
      <c r="L120" s="207" t="s">
        <v>528</v>
      </c>
      <c r="M120" s="130" t="e">
        <f>'Model homes'!$E274*E28*10^-6</f>
        <v>#DIV/0!</v>
      </c>
      <c r="N120" s="130" t="e">
        <f>'Model homes'!$E274*F28*10^-6</f>
        <v>#DIV/0!</v>
      </c>
      <c r="O120" s="130" t="e">
        <f>'Model homes'!$E274*G28*10^-6</f>
        <v>#DIV/0!</v>
      </c>
      <c r="P120" s="130" t="e">
        <f>'Model homes'!$E274*H28*10^-6</f>
        <v>#DIV/0!</v>
      </c>
      <c r="R120" s="209" t="s">
        <v>14</v>
      </c>
      <c r="T120" s="207" t="s">
        <v>529</v>
      </c>
      <c r="U120" s="130" t="e">
        <f>'Model homes'!$F274*E28*10^-6</f>
        <v>#DIV/0!</v>
      </c>
      <c r="V120" s="130" t="e">
        <f>'Model homes'!$F274*F28*10^-6</f>
        <v>#DIV/0!</v>
      </c>
      <c r="W120" s="130" t="e">
        <f>'Model homes'!$F274*G28*10^-6</f>
        <v>#DIV/0!</v>
      </c>
      <c r="X120" s="130" t="e">
        <f>'Model homes'!$F274*H28*10^-6</f>
        <v>#DIV/0!</v>
      </c>
      <c r="Z120" s="209" t="s">
        <v>14</v>
      </c>
      <c r="AB120" s="207" t="s">
        <v>530</v>
      </c>
      <c r="AC120" s="130" t="e">
        <f>'Model homes'!$G274*E28*10^-6</f>
        <v>#DIV/0!</v>
      </c>
      <c r="AD120" s="130" t="e">
        <f>'Model homes'!$G274*F28*10^-6</f>
        <v>#DIV/0!</v>
      </c>
      <c r="AE120" s="130" t="e">
        <f>'Model homes'!$G274*G28*10^-6</f>
        <v>#DIV/0!</v>
      </c>
      <c r="AF120" s="130" t="e">
        <f>'Model homes'!$G274*H28*10^-6</f>
        <v>#DIV/0!</v>
      </c>
      <c r="AH120" s="209" t="s">
        <v>14</v>
      </c>
      <c r="AJ120" s="207" t="s">
        <v>531</v>
      </c>
      <c r="AK120" s="130" t="e">
        <f>'Model homes'!$H274*E28*10^-6</f>
        <v>#DIV/0!</v>
      </c>
      <c r="AL120" s="130" t="e">
        <f>'Model homes'!$H274*F28*10^-6</f>
        <v>#DIV/0!</v>
      </c>
      <c r="AM120" s="130" t="e">
        <f>'Model homes'!$H274*G28*10^-6</f>
        <v>#DIV/0!</v>
      </c>
      <c r="AN120" s="130" t="e">
        <f>'Model homes'!$H274*H28*10^-6</f>
        <v>#DIV/0!</v>
      </c>
    </row>
    <row r="121" spans="3:40" ht="29.25" x14ac:dyDescent="0.3">
      <c r="C121" s="14" t="s">
        <v>15</v>
      </c>
      <c r="D121" s="84" t="s">
        <v>527</v>
      </c>
      <c r="E121" s="97">
        <f>E29*'Model homes'!$J111*10^-6</f>
        <v>0</v>
      </c>
      <c r="F121" s="97">
        <f>F29*'Model homes'!$J111*10^-6</f>
        <v>0</v>
      </c>
      <c r="G121" s="97">
        <f>G29*'Model homes'!$J111*10^-6</f>
        <v>0</v>
      </c>
      <c r="H121" s="97">
        <f>H29*'Model homes'!$J111*10^-6</f>
        <v>0</v>
      </c>
      <c r="J121" s="213" t="s">
        <v>15</v>
      </c>
      <c r="L121" s="207" t="s">
        <v>528</v>
      </c>
      <c r="M121" s="130">
        <f>'Model homes'!$E275*E29*10^-6</f>
        <v>7.7449223171889778E-5</v>
      </c>
      <c r="N121" s="130">
        <f>'Model homes'!$E275*F29*10^-6</f>
        <v>2.0219893048128331E-5</v>
      </c>
      <c r="O121" s="130">
        <f>'Model homes'!$E275*G29*10^-6</f>
        <v>1.2214936021438574E-5</v>
      </c>
      <c r="P121" s="130">
        <f>'Model homes'!$E275*H29*10^-6</f>
        <v>3.5375976562499973E-6</v>
      </c>
      <c r="R121" s="213" t="s">
        <v>15</v>
      </c>
      <c r="T121" s="207" t="s">
        <v>529</v>
      </c>
      <c r="U121" s="130">
        <f>'Model homes'!$F275*E29*10^-6</f>
        <v>1.2004629591642914E-3</v>
      </c>
      <c r="V121" s="130">
        <f>'Model homes'!$F275*F29*10^-6</f>
        <v>3.1340834224598908E-4</v>
      </c>
      <c r="W121" s="130">
        <f>'Model homes'!$F275*G29*10^-6</f>
        <v>1.8933150833229791E-4</v>
      </c>
      <c r="X121" s="130">
        <f>'Model homes'!$F275*H29*10^-6</f>
        <v>5.4832763671874957E-5</v>
      </c>
      <c r="Z121" s="213" t="s">
        <v>15</v>
      </c>
      <c r="AB121" s="207" t="s">
        <v>530</v>
      </c>
      <c r="AC121" s="130">
        <f>'Model homes'!$G275*E29*10^-6</f>
        <v>2.7107228110161423E-4</v>
      </c>
      <c r="AD121" s="130">
        <f>'Model homes'!$G275*F29*10^-6</f>
        <v>7.0769625668449151E-5</v>
      </c>
      <c r="AE121" s="130">
        <f>'Model homes'!$G275*G29*10^-6</f>
        <v>4.2752276075035018E-5</v>
      </c>
      <c r="AF121" s="130">
        <f>'Model homes'!$G275*H29*10^-6</f>
        <v>1.2381591796874991E-5</v>
      </c>
      <c r="AH121" s="213" t="s">
        <v>15</v>
      </c>
      <c r="AJ121" s="207" t="s">
        <v>531</v>
      </c>
      <c r="AK121" s="130">
        <f>'Model homes'!$H275*E29*10^-6</f>
        <v>3.8724611585944889E-5</v>
      </c>
      <c r="AL121" s="130">
        <f>'Model homes'!$H275*F29*10^-6</f>
        <v>1.0109946524064165E-5</v>
      </c>
      <c r="AM121" s="130">
        <f>'Model homes'!$H275*G29*10^-6</f>
        <v>6.107468010719287E-6</v>
      </c>
      <c r="AN121" s="130">
        <f>'Model homes'!$H275*H29*10^-6</f>
        <v>1.7687988281249987E-6</v>
      </c>
    </row>
    <row r="122" spans="3:40" ht="29.25" x14ac:dyDescent="0.3">
      <c r="C122" s="15" t="s">
        <v>16</v>
      </c>
      <c r="D122" s="84" t="s">
        <v>527</v>
      </c>
      <c r="E122" s="97">
        <f>E30*'Model homes'!$J112*10^-6</f>
        <v>0</v>
      </c>
      <c r="F122" s="97">
        <f>F30*'Model homes'!$J112*10^-6</f>
        <v>0</v>
      </c>
      <c r="G122" s="97">
        <f>G30*'Model homes'!$J112*10^-6</f>
        <v>0</v>
      </c>
      <c r="H122" s="97">
        <f>H30*'Model homes'!$J112*10^-6</f>
        <v>0</v>
      </c>
      <c r="J122" s="210" t="s">
        <v>16</v>
      </c>
      <c r="L122" s="207" t="s">
        <v>528</v>
      </c>
      <c r="M122" s="130">
        <f>'Model homes'!$E276*E30*10^-6</f>
        <v>6.2927493827160441E-5</v>
      </c>
      <c r="N122" s="130">
        <f>'Model homes'!$E276*F30*10^-6</f>
        <v>1.684991087344027E-5</v>
      </c>
      <c r="O122" s="130">
        <f>'Model homes'!$E276*G30*10^-6</f>
        <v>9.9804965053217649E-6</v>
      </c>
      <c r="P122" s="130">
        <f>'Model homes'!$E276*H30*10^-6</f>
        <v>2.9479980468749976E-6</v>
      </c>
      <c r="R122" s="210" t="s">
        <v>16</v>
      </c>
      <c r="T122" s="207" t="s">
        <v>529</v>
      </c>
      <c r="U122" s="130">
        <f>'Model homes'!$F276*E30*10^-6</f>
        <v>9.7537615432098678E-4</v>
      </c>
      <c r="V122" s="130">
        <f>'Model homes'!$F276*F30*10^-6</f>
        <v>2.6117361853832425E-4</v>
      </c>
      <c r="W122" s="130">
        <f>'Model homes'!$F276*G30*10^-6</f>
        <v>1.5469769583248733E-4</v>
      </c>
      <c r="X122" s="130">
        <f>'Model homes'!$F276*H30*10^-6</f>
        <v>4.5693969726562462E-5</v>
      </c>
      <c r="Z122" s="210" t="s">
        <v>16</v>
      </c>
      <c r="AB122" s="207" t="s">
        <v>530</v>
      </c>
      <c r="AC122" s="130">
        <f>'Model homes'!$G276*E30*10^-6</f>
        <v>2.2024622839506155E-4</v>
      </c>
      <c r="AD122" s="130">
        <f>'Model homes'!$G276*F30*10^-6</f>
        <v>5.8974688057040964E-5</v>
      </c>
      <c r="AE122" s="130">
        <f>'Model homes'!$G276*G30*10^-6</f>
        <v>3.4931737768626174E-5</v>
      </c>
      <c r="AF122" s="130">
        <f>'Model homes'!$G276*H30*10^-6</f>
        <v>1.0317993164062492E-5</v>
      </c>
      <c r="AH122" s="210" t="s">
        <v>16</v>
      </c>
      <c r="AJ122" s="207" t="s">
        <v>531</v>
      </c>
      <c r="AK122" s="130">
        <f>'Model homes'!$H276*E30*10^-6</f>
        <v>3.146374691358022E-5</v>
      </c>
      <c r="AL122" s="130">
        <f>'Model homes'!$H276*F30*10^-6</f>
        <v>8.4249554367201351E-6</v>
      </c>
      <c r="AM122" s="130">
        <f>'Model homes'!$H276*G30*10^-6</f>
        <v>4.9902482526608824E-6</v>
      </c>
      <c r="AN122" s="130">
        <f>'Model homes'!$H276*H30*10^-6</f>
        <v>1.4739990234374988E-6</v>
      </c>
    </row>
    <row r="123" spans="3:40" ht="29.25" x14ac:dyDescent="0.3">
      <c r="C123" s="15" t="s">
        <v>17</v>
      </c>
      <c r="D123" s="84" t="s">
        <v>527</v>
      </c>
      <c r="E123" s="97">
        <f>E31*'Model homes'!$J113*10^-6</f>
        <v>1.4498494577777767</v>
      </c>
      <c r="F123" s="97">
        <f>F31*'Model homes'!$J113*10^-6</f>
        <v>0.37851639786096236</v>
      </c>
      <c r="G123" s="97">
        <f>G31*'Model homes'!$J113*10^-6</f>
        <v>0.23569940546967877</v>
      </c>
      <c r="H123" s="97">
        <f>H31*'Model homes'!$J113*10^-6</f>
        <v>6.6223828124999953E-2</v>
      </c>
      <c r="J123" s="210" t="s">
        <v>17</v>
      </c>
      <c r="L123" s="207" t="s">
        <v>528</v>
      </c>
      <c r="M123" s="130">
        <f>'Model homes'!$E277*E31*10^-6</f>
        <v>7.3576762013295293E-4</v>
      </c>
      <c r="N123" s="130">
        <f>'Model homes'!$E277*F31*10^-6</f>
        <v>1.920889839572191E-4</v>
      </c>
      <c r="O123" s="130">
        <f>'Model homes'!$E277*G31*10^-6</f>
        <v>1.1961241196377929E-4</v>
      </c>
      <c r="P123" s="130">
        <f>'Model homes'!$E277*H31*10^-6</f>
        <v>3.3607177734374973E-5</v>
      </c>
      <c r="R123" s="210" t="s">
        <v>17</v>
      </c>
      <c r="T123" s="207" t="s">
        <v>529</v>
      </c>
      <c r="U123" s="130">
        <f>'Model homes'!$F277*E31*10^-6</f>
        <v>1.0842891244064569E-3</v>
      </c>
      <c r="V123" s="130">
        <f>'Model homes'!$F277*F31*10^-6</f>
        <v>2.8307850267379661E-4</v>
      </c>
      <c r="W123" s="130">
        <f>'Model homes'!$F277*G31*10^-6</f>
        <v>1.7627092289399055E-4</v>
      </c>
      <c r="X123" s="130">
        <f>'Model homes'!$F277*H31*10^-6</f>
        <v>4.9526367187499962E-5</v>
      </c>
      <c r="Z123" s="210" t="s">
        <v>17</v>
      </c>
      <c r="AB123" s="207" t="s">
        <v>530</v>
      </c>
      <c r="AC123" s="130">
        <f>'Model homes'!$G277*E31*10^-6</f>
        <v>3.8724611585944889E-5</v>
      </c>
      <c r="AD123" s="130">
        <f>'Model homes'!$G277*F31*10^-6</f>
        <v>1.0109946524064165E-5</v>
      </c>
      <c r="AE123" s="130">
        <f>'Model homes'!$G277*G31*10^-6</f>
        <v>6.2953901033568051E-6</v>
      </c>
      <c r="AF123" s="130">
        <f>'Model homes'!$G277*H31*10^-6</f>
        <v>1.7687988281249987E-6</v>
      </c>
      <c r="AH123" s="210" t="s">
        <v>17</v>
      </c>
      <c r="AJ123" s="207" t="s">
        <v>531</v>
      </c>
      <c r="AK123" s="130">
        <f>'Model homes'!$H277*E31*10^-6</f>
        <v>3.8724611585944889E-5</v>
      </c>
      <c r="AL123" s="130">
        <f>'Model homes'!$H277*F31*10^-6</f>
        <v>1.0109946524064165E-5</v>
      </c>
      <c r="AM123" s="130">
        <f>'Model homes'!$H277*G31*10^-6</f>
        <v>6.2953901033568051E-6</v>
      </c>
      <c r="AN123" s="130">
        <f>'Model homes'!$H277*H31*10^-6</f>
        <v>1.7687988281249987E-6</v>
      </c>
    </row>
    <row r="124" spans="3:40" ht="29.25" x14ac:dyDescent="0.3">
      <c r="C124" s="15" t="s">
        <v>18</v>
      </c>
      <c r="D124" s="84" t="s">
        <v>527</v>
      </c>
      <c r="E124" s="97">
        <f>E32*'Model homes'!$J114*10^-6</f>
        <v>0.72492472888888826</v>
      </c>
      <c r="F124" s="97">
        <f>F32*'Model homes'!$J114*10^-6</f>
        <v>0.19182731475306686</v>
      </c>
      <c r="G124" s="97">
        <f>G32*'Model homes'!$J114*10^-6</f>
        <v>0.11784970273483938</v>
      </c>
      <c r="H124" s="97">
        <f>H32*'Model homes'!$J114*10^-6</f>
        <v>3.3561397058823501E-2</v>
      </c>
      <c r="J124" s="210" t="s">
        <v>18</v>
      </c>
      <c r="L124" s="207" t="s">
        <v>528</v>
      </c>
      <c r="M124" s="130">
        <f>'Model homes'!$E278*E32*10^-6</f>
        <v>5.6634744444444384E-4</v>
      </c>
      <c r="N124" s="130">
        <f>'Model homes'!$E278*F32*10^-6</f>
        <v>1.4986508965083347E-4</v>
      </c>
      <c r="O124" s="130">
        <f>'Model homes'!$E278*G32*10^-6</f>
        <v>9.2070080261593274E-5</v>
      </c>
      <c r="P124" s="130">
        <f>'Model homes'!$E278*H32*10^-6</f>
        <v>2.6219841452205857E-5</v>
      </c>
      <c r="R124" s="210" t="s">
        <v>18</v>
      </c>
      <c r="T124" s="207" t="s">
        <v>529</v>
      </c>
      <c r="U124" s="130">
        <f>'Model homes'!$F278*E32*10^-6</f>
        <v>2.2024622839506153E-3</v>
      </c>
      <c r="V124" s="130">
        <f>'Model homes'!$F278*F32*10^-6</f>
        <v>5.828086819754635E-4</v>
      </c>
      <c r="W124" s="130">
        <f>'Model homes'!$F278*G32*10^-6</f>
        <v>3.5805031212841827E-4</v>
      </c>
      <c r="X124" s="130">
        <f>'Model homes'!$F278*H32*10^-6</f>
        <v>1.0196605009191168E-4</v>
      </c>
      <c r="Z124" s="210" t="s">
        <v>18</v>
      </c>
      <c r="AB124" s="207" t="s">
        <v>530</v>
      </c>
      <c r="AC124" s="130">
        <f>'Model homes'!$G278*E32*10^-6</f>
        <v>3.146374691358022E-5</v>
      </c>
      <c r="AD124" s="130">
        <f>'Model homes'!$G278*F32*10^-6</f>
        <v>8.3258383139351925E-6</v>
      </c>
      <c r="AE124" s="130">
        <f>'Model homes'!$G278*G32*10^-6</f>
        <v>5.115004458977404E-6</v>
      </c>
      <c r="AF124" s="130">
        <f>'Model homes'!$G278*H32*10^-6</f>
        <v>1.4566578584558812E-6</v>
      </c>
      <c r="AH124" s="210" t="s">
        <v>18</v>
      </c>
      <c r="AJ124" s="207" t="s">
        <v>531</v>
      </c>
      <c r="AK124" s="130">
        <f>'Model homes'!$H278*E32*10^-6</f>
        <v>3.146374691358022E-5</v>
      </c>
      <c r="AL124" s="130">
        <f>'Model homes'!$H278*F32*10^-6</f>
        <v>8.3258383139351925E-6</v>
      </c>
      <c r="AM124" s="130">
        <f>'Model homes'!$H278*G32*10^-6</f>
        <v>5.115004458977404E-6</v>
      </c>
      <c r="AN124" s="130">
        <f>'Model homes'!$H278*H32*10^-6</f>
        <v>1.4566578584558812E-6</v>
      </c>
    </row>
    <row r="125" spans="3:40" ht="29.25" x14ac:dyDescent="0.3">
      <c r="C125" s="15" t="s">
        <v>19</v>
      </c>
      <c r="D125" s="84" t="s">
        <v>527</v>
      </c>
      <c r="E125" s="97">
        <f>E33*'Model homes'!$J115*10^-6</f>
        <v>0.88350201333333256</v>
      </c>
      <c r="F125" s="97">
        <f>F33*'Model homes'!$J115*10^-6</f>
        <v>0.23107105683372697</v>
      </c>
      <c r="G125" s="97">
        <f>G33*'Model homes'!$J115*10^-6</f>
        <v>0.1436293252080855</v>
      </c>
      <c r="H125" s="97">
        <f>H33*'Model homes'!$J115*10^-6</f>
        <v>4.042733693677323E-2</v>
      </c>
      <c r="J125" s="210" t="s">
        <v>19</v>
      </c>
      <c r="L125" s="207" t="s">
        <v>528</v>
      </c>
      <c r="M125" s="130">
        <f>'Model homes'!$E279*E33*10^-6</f>
        <v>5.6634744444444384E-4</v>
      </c>
      <c r="N125" s="130">
        <f>'Model homes'!$E279*F33*10^-6</f>
        <v>1.4812247232931215E-4</v>
      </c>
      <c r="O125" s="130">
        <f>'Model homes'!$E279*G33*10^-6</f>
        <v>9.2070080261593274E-5</v>
      </c>
      <c r="P125" s="130">
        <f>'Model homes'!$E279*H33*10^-6</f>
        <v>2.591495957485463E-5</v>
      </c>
      <c r="R125" s="210" t="s">
        <v>19</v>
      </c>
      <c r="T125" s="207" t="s">
        <v>529</v>
      </c>
      <c r="U125" s="130">
        <f>'Model homes'!$F279*E33*10^-6</f>
        <v>2.2024622839506153E-3</v>
      </c>
      <c r="V125" s="130">
        <f>'Model homes'!$F279*F33*10^-6</f>
        <v>5.76031836836214E-4</v>
      </c>
      <c r="W125" s="130">
        <f>'Model homes'!$F279*G33*10^-6</f>
        <v>3.5805031212841827E-4</v>
      </c>
      <c r="X125" s="130">
        <f>'Model homes'!$F279*H33*10^-6</f>
        <v>1.007803983466569E-4</v>
      </c>
      <c r="Z125" s="210" t="s">
        <v>19</v>
      </c>
      <c r="AB125" s="207" t="s">
        <v>530</v>
      </c>
      <c r="AC125" s="130">
        <f>'Model homes'!$G279*E33*10^-6</f>
        <v>3.146374691358022E-5</v>
      </c>
      <c r="AD125" s="130">
        <f>'Model homes'!$G279*F33*10^-6</f>
        <v>8.2290262405173413E-6</v>
      </c>
      <c r="AE125" s="130">
        <f>'Model homes'!$G279*G33*10^-6</f>
        <v>5.115004458977404E-6</v>
      </c>
      <c r="AF125" s="130">
        <f>'Model homes'!$G279*H33*10^-6</f>
        <v>1.4397199763808127E-6</v>
      </c>
      <c r="AH125" s="210" t="s">
        <v>19</v>
      </c>
      <c r="AJ125" s="207" t="s">
        <v>531</v>
      </c>
      <c r="AK125" s="130">
        <f>'Model homes'!$H279*E33*10^-6</f>
        <v>3.146374691358022E-5</v>
      </c>
      <c r="AL125" s="130">
        <f>'Model homes'!$H279*F33*10^-6</f>
        <v>8.2290262405173413E-6</v>
      </c>
      <c r="AM125" s="130">
        <f>'Model homes'!$H279*G33*10^-6</f>
        <v>5.115004458977404E-6</v>
      </c>
      <c r="AN125" s="130">
        <f>'Model homes'!$H279*H33*10^-6</f>
        <v>1.4397199763808127E-6</v>
      </c>
    </row>
    <row r="126" spans="3:40" ht="29.25" x14ac:dyDescent="0.3">
      <c r="C126" s="14" t="s">
        <v>20</v>
      </c>
      <c r="D126" s="84" t="s">
        <v>527</v>
      </c>
      <c r="E126" s="97">
        <f>E34*'Model homes'!$J116*10^-6</f>
        <v>0.59273257244444399</v>
      </c>
      <c r="F126" s="97">
        <f>F34*'Model homes'!$J116*10^-6</f>
        <v>0.16281894567582506</v>
      </c>
      <c r="G126" s="97">
        <f>G34*'Model homes'!$J116*10^-6</f>
        <v>9.4144302759440648E-2</v>
      </c>
      <c r="H126" s="97">
        <f>H34*'Model homes'!$J116*10^-6</f>
        <v>2.8486200161637904E-2</v>
      </c>
      <c r="J126" s="213" t="s">
        <v>20</v>
      </c>
      <c r="L126" s="207" t="s">
        <v>528</v>
      </c>
      <c r="M126" s="130">
        <f>'Model homes'!$E280*E34*10^-6</f>
        <v>0</v>
      </c>
      <c r="N126" s="130">
        <f>'Model homes'!$E280*F34*10^-6</f>
        <v>0</v>
      </c>
      <c r="O126" s="130">
        <f>'Model homes'!$E280*G34*10^-6</f>
        <v>0</v>
      </c>
      <c r="P126" s="130">
        <f>'Model homes'!$E280*H34*10^-6</f>
        <v>0</v>
      </c>
      <c r="R126" s="213" t="s">
        <v>20</v>
      </c>
      <c r="T126" s="207" t="s">
        <v>529</v>
      </c>
      <c r="U126" s="130">
        <f>'Model homes'!$F280*E34*10^-6</f>
        <v>3.8496819753086386E-4</v>
      </c>
      <c r="V126" s="130">
        <f>'Model homes'!$F280*F34*10^-6</f>
        <v>1.0574771651607343E-4</v>
      </c>
      <c r="W126" s="130">
        <f>'Model homes'!$F280*G34*10^-6</f>
        <v>6.1144880888925289E-5</v>
      </c>
      <c r="X126" s="130">
        <f>'Model homes'!$F280*H34*10^-6</f>
        <v>1.8501229121767228E-5</v>
      </c>
      <c r="Z126" s="213" t="s">
        <v>20</v>
      </c>
      <c r="AB126" s="207" t="s">
        <v>530</v>
      </c>
      <c r="AC126" s="130">
        <f>'Model homes'!$G280*E34*10^-6</f>
        <v>0</v>
      </c>
      <c r="AD126" s="130">
        <f>'Model homes'!$G280*F34*10^-6</f>
        <v>0</v>
      </c>
      <c r="AE126" s="130">
        <f>'Model homes'!$G280*G34*10^-6</f>
        <v>0</v>
      </c>
      <c r="AF126" s="130">
        <f>'Model homes'!$G280*H34*10^-6</f>
        <v>0</v>
      </c>
      <c r="AH126" s="213" t="s">
        <v>20</v>
      </c>
      <c r="AJ126" s="207" t="s">
        <v>531</v>
      </c>
      <c r="AK126" s="130">
        <f>'Model homes'!$H280*E34*10^-6</f>
        <v>0</v>
      </c>
      <c r="AL126" s="130">
        <f>'Model homes'!$H280*F34*10^-6</f>
        <v>0</v>
      </c>
      <c r="AM126" s="130">
        <f>'Model homes'!$H280*G34*10^-6</f>
        <v>0</v>
      </c>
      <c r="AN126" s="130">
        <f>'Model homes'!$H280*H34*10^-6</f>
        <v>0</v>
      </c>
    </row>
    <row r="127" spans="3:40" ht="29.25" x14ac:dyDescent="0.3">
      <c r="C127" s="14" t="s">
        <v>21</v>
      </c>
      <c r="D127" s="84" t="s">
        <v>527</v>
      </c>
      <c r="E127" s="97" t="e">
        <f>E35*'Model homes'!$J117*10^-6</f>
        <v>#N/A</v>
      </c>
      <c r="F127" s="97" t="e">
        <f>F35*'Model homes'!$J117*10^-6</f>
        <v>#N/A</v>
      </c>
      <c r="G127" s="97" t="e">
        <f>G35*'Model homes'!$J117*10^-6</f>
        <v>#N/A</v>
      </c>
      <c r="H127" s="97" t="e">
        <f>H35*'Model homes'!$J117*10^-6</f>
        <v>#N/A</v>
      </c>
      <c r="J127" s="213" t="s">
        <v>21</v>
      </c>
      <c r="L127" s="207" t="s">
        <v>528</v>
      </c>
      <c r="M127" s="130" t="e">
        <f>'Model homes'!$E281*E35*10^-6</f>
        <v>#DIV/0!</v>
      </c>
      <c r="N127" s="130" t="e">
        <f>'Model homes'!$E281*F35*10^-6</f>
        <v>#DIV/0!</v>
      </c>
      <c r="O127" s="130" t="e">
        <f>'Model homes'!$E281*G35*10^-6</f>
        <v>#DIV/0!</v>
      </c>
      <c r="P127" s="130" t="e">
        <f>'Model homes'!$E281*H35*10^-6</f>
        <v>#DIV/0!</v>
      </c>
      <c r="R127" s="213" t="s">
        <v>21</v>
      </c>
      <c r="T127" s="207" t="s">
        <v>529</v>
      </c>
      <c r="U127" s="130" t="e">
        <f>'Model homes'!$F281*E35*10^-6</f>
        <v>#DIV/0!</v>
      </c>
      <c r="V127" s="130" t="e">
        <f>'Model homes'!$F281*F35*10^-6</f>
        <v>#DIV/0!</v>
      </c>
      <c r="W127" s="130" t="e">
        <f>'Model homes'!$F281*G35*10^-6</f>
        <v>#DIV/0!</v>
      </c>
      <c r="X127" s="130" t="e">
        <f>'Model homes'!$F281*H35*10^-6</f>
        <v>#DIV/0!</v>
      </c>
      <c r="Z127" s="213" t="s">
        <v>21</v>
      </c>
      <c r="AB127" s="207" t="s">
        <v>530</v>
      </c>
      <c r="AC127" s="130" t="e">
        <f>'Model homes'!$G281*E35*10^-6</f>
        <v>#DIV/0!</v>
      </c>
      <c r="AD127" s="130" t="e">
        <f>'Model homes'!$G281*F35*10^-6</f>
        <v>#DIV/0!</v>
      </c>
      <c r="AE127" s="130" t="e">
        <f>'Model homes'!$G281*G35*10^-6</f>
        <v>#DIV/0!</v>
      </c>
      <c r="AF127" s="130" t="e">
        <f>'Model homes'!$G281*H35*10^-6</f>
        <v>#DIV/0!</v>
      </c>
      <c r="AH127" s="213" t="s">
        <v>21</v>
      </c>
      <c r="AJ127" s="207" t="s">
        <v>531</v>
      </c>
      <c r="AK127" s="130" t="e">
        <f>'Model homes'!$H281*E35*10^-6</f>
        <v>#DIV/0!</v>
      </c>
      <c r="AL127" s="130" t="e">
        <f>'Model homes'!$H281*F35*10^-6</f>
        <v>#DIV/0!</v>
      </c>
      <c r="AM127" s="130" t="e">
        <f>'Model homes'!$H281*G35*10^-6</f>
        <v>#DIV/0!</v>
      </c>
      <c r="AN127" s="130" t="e">
        <f>'Model homes'!$H281*H35*10^-6</f>
        <v>#DIV/0!</v>
      </c>
    </row>
    <row r="128" spans="3:40" ht="29.25" x14ac:dyDescent="0.3">
      <c r="C128" s="14" t="s">
        <v>22</v>
      </c>
      <c r="D128" s="84" t="s">
        <v>527</v>
      </c>
      <c r="E128" s="97" t="e">
        <f>E36*'Model homes'!$J118*10^-6</f>
        <v>#N/A</v>
      </c>
      <c r="F128" s="97" t="e">
        <f>F36*'Model homes'!$J118*10^-6</f>
        <v>#N/A</v>
      </c>
      <c r="G128" s="97" t="e">
        <f>G36*'Model homes'!$J118*10^-6</f>
        <v>#N/A</v>
      </c>
      <c r="H128" s="97" t="e">
        <f>H36*'Model homes'!$J118*10^-6</f>
        <v>#N/A</v>
      </c>
      <c r="J128" s="213" t="s">
        <v>22</v>
      </c>
      <c r="L128" s="207" t="s">
        <v>528</v>
      </c>
      <c r="M128" s="130" t="e">
        <f>'Model homes'!$E282*E36*10^-6</f>
        <v>#DIV/0!</v>
      </c>
      <c r="N128" s="130" t="e">
        <f>'Model homes'!$E282*F36*10^-6</f>
        <v>#DIV/0!</v>
      </c>
      <c r="O128" s="130" t="e">
        <f>'Model homes'!$E282*G36*10^-6</f>
        <v>#DIV/0!</v>
      </c>
      <c r="P128" s="130" t="e">
        <f>'Model homes'!$E282*H36*10^-6</f>
        <v>#DIV/0!</v>
      </c>
      <c r="R128" s="213" t="s">
        <v>22</v>
      </c>
      <c r="T128" s="207" t="s">
        <v>529</v>
      </c>
      <c r="U128" s="130" t="e">
        <f>'Model homes'!$F282*E36*10^-6</f>
        <v>#DIV/0!</v>
      </c>
      <c r="V128" s="130" t="e">
        <f>'Model homes'!$F282*F36*10^-6</f>
        <v>#DIV/0!</v>
      </c>
      <c r="W128" s="130" t="e">
        <f>'Model homes'!$F282*G36*10^-6</f>
        <v>#DIV/0!</v>
      </c>
      <c r="X128" s="130" t="e">
        <f>'Model homes'!$F282*H36*10^-6</f>
        <v>#DIV/0!</v>
      </c>
      <c r="Z128" s="213" t="s">
        <v>22</v>
      </c>
      <c r="AB128" s="207" t="s">
        <v>530</v>
      </c>
      <c r="AC128" s="130" t="e">
        <f>'Model homes'!$G282*E36*10^-6</f>
        <v>#DIV/0!</v>
      </c>
      <c r="AD128" s="130" t="e">
        <f>'Model homes'!$G282*F36*10^-6</f>
        <v>#DIV/0!</v>
      </c>
      <c r="AE128" s="130" t="e">
        <f>'Model homes'!$G282*G36*10^-6</f>
        <v>#DIV/0!</v>
      </c>
      <c r="AF128" s="130" t="e">
        <f>'Model homes'!$G282*H36*10^-6</f>
        <v>#DIV/0!</v>
      </c>
      <c r="AH128" s="213" t="s">
        <v>22</v>
      </c>
      <c r="AJ128" s="207" t="s">
        <v>531</v>
      </c>
      <c r="AK128" s="130" t="e">
        <f>'Model homes'!$H282*E36*10^-6</f>
        <v>#DIV/0!</v>
      </c>
      <c r="AL128" s="130" t="e">
        <f>'Model homes'!$H282*F36*10^-6</f>
        <v>#DIV/0!</v>
      </c>
      <c r="AM128" s="130" t="e">
        <f>'Model homes'!$H282*G36*10^-6</f>
        <v>#DIV/0!</v>
      </c>
      <c r="AN128" s="130" t="e">
        <f>'Model homes'!$H282*H36*10^-6</f>
        <v>#DIV/0!</v>
      </c>
    </row>
    <row r="129" spans="3:40" x14ac:dyDescent="0.3">
      <c r="J129" s="26"/>
      <c r="L129" s="207"/>
      <c r="R129" s="26"/>
      <c r="T129" s="207"/>
      <c r="Z129" s="26"/>
      <c r="AB129" s="207"/>
      <c r="AH129" s="26"/>
      <c r="AJ129" s="207"/>
    </row>
    <row r="130" spans="3:40" x14ac:dyDescent="0.3">
      <c r="C130" s="51" t="s">
        <v>313</v>
      </c>
      <c r="E130" s="106"/>
      <c r="J130" s="51" t="s">
        <v>532</v>
      </c>
      <c r="R130" s="51" t="s">
        <v>533</v>
      </c>
      <c r="Z130" s="51" t="s">
        <v>534</v>
      </c>
      <c r="AH130" s="51" t="s">
        <v>535</v>
      </c>
    </row>
    <row r="131" spans="3:40" x14ac:dyDescent="0.3">
      <c r="C131" s="20" t="s">
        <v>14</v>
      </c>
      <c r="D131" s="84" t="s">
        <v>536</v>
      </c>
      <c r="E131" s="42" t="e">
        <f>LOOKUP(E$69,'Model homes'!$C$203:$C$227,'Model homes'!$F$203:$F$227)*E120</f>
        <v>#VALUE!</v>
      </c>
      <c r="F131" s="42" t="e">
        <f>LOOKUP(F$69,'Model homes'!$C$203:$C$227,'Model homes'!$F$203:$F$227)*F120</f>
        <v>#VALUE!</v>
      </c>
      <c r="G131" s="42" t="e">
        <f>LOOKUP(G$69,'Model homes'!$C$203:$C$227,'Model homes'!$F$203:$F$227)*G120</f>
        <v>#VALUE!</v>
      </c>
      <c r="H131" s="42" t="e">
        <f>LOOKUP(H$69,'Model homes'!$C$203:$C$227,'Model homes'!$F$203:$F$227)*H120</f>
        <v>#VALUE!</v>
      </c>
      <c r="J131" s="209" t="s">
        <v>14</v>
      </c>
      <c r="L131" s="207" t="s">
        <v>536</v>
      </c>
      <c r="M131" s="159" t="e">
        <f>LOOKUP(E$69,'Model homes'!$C$351:$C$375,'Model homes'!$E$351:$E$375)*M120</f>
        <v>#DIV/0!</v>
      </c>
      <c r="N131" s="159" t="e">
        <f>LOOKUP(F$69,'Model homes'!$C$351:$C$375,'Model homes'!$E$351:$E$375)*N120</f>
        <v>#DIV/0!</v>
      </c>
      <c r="O131" s="159" t="e">
        <f>LOOKUP(G$69,'Model homes'!$C$351:$C$375,'Model homes'!$E$351:$E$375)*O120</f>
        <v>#DIV/0!</v>
      </c>
      <c r="P131" s="159" t="e">
        <f>LOOKUP(H$69,'Model homes'!$C$351:$C$375,'Model homes'!$E$351:$E$375)*P120</f>
        <v>#DIV/0!</v>
      </c>
      <c r="R131" s="209" t="s">
        <v>14</v>
      </c>
      <c r="T131" s="207" t="s">
        <v>536</v>
      </c>
      <c r="U131" s="159" t="e">
        <f>LOOKUP(E$69,'Model homes'!$C$351:$C$375,'Model homes'!$F$351:$F$375)*U120</f>
        <v>#DIV/0!</v>
      </c>
      <c r="V131" s="159" t="e">
        <f>LOOKUP(F$69,'Model homes'!$C$351:$C$375,'Model homes'!$F$351:$F$375)*V120</f>
        <v>#DIV/0!</v>
      </c>
      <c r="W131" s="159" t="e">
        <f>LOOKUP(G$69,'Model homes'!$C$351:$C$375,'Model homes'!$F$351:$F$375)*W120</f>
        <v>#DIV/0!</v>
      </c>
      <c r="X131" s="159" t="e">
        <f>LOOKUP(H$69,'Model homes'!$C$351:$C$375,'Model homes'!$F$351:$F$375)*X120</f>
        <v>#DIV/0!</v>
      </c>
      <c r="Z131" s="209" t="s">
        <v>14</v>
      </c>
      <c r="AB131" s="207" t="s">
        <v>536</v>
      </c>
      <c r="AC131" s="159" t="e">
        <f>LOOKUP(E$69,'Model homes'!$C$351:$C$375,'Model homes'!$G$351:$G$375)*AC120</f>
        <v>#DIV/0!</v>
      </c>
      <c r="AD131" s="159" t="e">
        <f>LOOKUP(F$69,'Model homes'!$C$351:$C$375,'Model homes'!$G$351:$G$375)*AD120</f>
        <v>#DIV/0!</v>
      </c>
      <c r="AE131" s="159" t="e">
        <f>LOOKUP(G$69,'Model homes'!$C$351:$C$375,'Model homes'!$G$351:$G$375)*AE120</f>
        <v>#DIV/0!</v>
      </c>
      <c r="AF131" s="159" t="e">
        <f>LOOKUP(H$69,'Model homes'!$C$351:$C$375,'Model homes'!$G$351:$G$375)*AF120</f>
        <v>#DIV/0!</v>
      </c>
      <c r="AH131" s="209" t="s">
        <v>14</v>
      </c>
      <c r="AJ131" s="207" t="s">
        <v>536</v>
      </c>
      <c r="AK131" s="159" t="e">
        <f>LOOKUP(E$69,'Model homes'!$C$351:$C$375,'Model homes'!$H$351:$H$375)*AK120</f>
        <v>#DIV/0!</v>
      </c>
      <c r="AL131" s="159" t="e">
        <f>LOOKUP(F$69,'Model homes'!$C$351:$C$375,'Model homes'!$H$351:$H$375)*AL120</f>
        <v>#DIV/0!</v>
      </c>
      <c r="AM131" s="159" t="e">
        <f>LOOKUP(G$69,'Model homes'!$C$351:$C$375,'Model homes'!$H$351:$H$375)*AM120</f>
        <v>#DIV/0!</v>
      </c>
      <c r="AN131" s="159" t="e">
        <f>LOOKUP(H$69,'Model homes'!$C$351:$C$375,'Model homes'!$H$351:$H$375)*AN120</f>
        <v>#DIV/0!</v>
      </c>
    </row>
    <row r="132" spans="3:40" x14ac:dyDescent="0.3">
      <c r="C132" s="14" t="s">
        <v>15</v>
      </c>
      <c r="D132" s="84" t="s">
        <v>536</v>
      </c>
      <c r="E132" s="42">
        <f>LOOKUP(E$69,'Model homes'!$C$203:$C$227,'Model homes'!$F$203:$F$227)*E121</f>
        <v>0</v>
      </c>
      <c r="F132" s="42">
        <f>LOOKUP(F$69,'Model homes'!$C$203:$C$227,'Model homes'!$F$203:$F$227)*F121</f>
        <v>0</v>
      </c>
      <c r="G132" s="42">
        <f>LOOKUP(G$69,'Model homes'!$C$203:$C$227,'Model homes'!$F$203:$F$227)*G121</f>
        <v>0</v>
      </c>
      <c r="H132" s="42">
        <f>LOOKUP(H$69,'Model homes'!$C$203:$C$227,'Model homes'!$F$203:$F$227)*H121</f>
        <v>0</v>
      </c>
      <c r="J132" s="213" t="s">
        <v>15</v>
      </c>
      <c r="L132" s="207" t="s">
        <v>536</v>
      </c>
      <c r="M132" s="42">
        <f>LOOKUP(E$69,'Model homes'!$C$351:$C$375,'Model homes'!$E$351:$E$375)*M121</f>
        <v>1.5059022139378919</v>
      </c>
      <c r="N132" s="42">
        <f>LOOKUP(F$69,'Model homes'!$C$351:$C$375,'Model homes'!$E$351:$E$375)*N121</f>
        <v>0.39315025328511471</v>
      </c>
      <c r="O132" s="42">
        <f>LOOKUP(G$69,'Model homes'!$C$351:$C$375,'Model homes'!$E$351:$E$375)*O121</f>
        <v>0.23750398576586812</v>
      </c>
      <c r="P132" s="42">
        <f>LOOKUP(H$69,'Model homes'!$C$351:$C$375,'Model homes'!$E$351:$E$375)*P121</f>
        <v>6.8784113311828612E-2</v>
      </c>
      <c r="R132" s="213" t="s">
        <v>15</v>
      </c>
      <c r="T132" s="207" t="s">
        <v>536</v>
      </c>
      <c r="U132" s="42">
        <f>LOOKUP(E$69,'Model homes'!$C$351:$C$375,'Model homes'!$F$351:$F$375)*U121</f>
        <v>20.400847993241513</v>
      </c>
      <c r="V132" s="42">
        <f>LOOKUP(F$69,'Model homes'!$C$351:$C$375,'Model homes'!$F$351:$F$375)*V121</f>
        <v>5.326108482701799</v>
      </c>
      <c r="W132" s="42">
        <f>LOOKUP(G$69,'Model homes'!$C$351:$C$375,'Model homes'!$F$351:$F$375)*W121</f>
        <v>3.2175281147427195</v>
      </c>
      <c r="X132" s="42">
        <f>LOOKUP(H$69,'Model homes'!$C$351:$C$375,'Model homes'!$F$351:$F$375)*X121</f>
        <v>0.93183622883125017</v>
      </c>
      <c r="Z132" s="213" t="s">
        <v>15</v>
      </c>
      <c r="AB132" s="207" t="s">
        <v>536</v>
      </c>
      <c r="AC132" s="42">
        <f>LOOKUP(E$69,'Model homes'!$C$351:$C$375,'Model homes'!$G$351:$G$375)*AC121</f>
        <v>9.1717958746473425</v>
      </c>
      <c r="AD132" s="42">
        <f>LOOKUP(F$69,'Model homes'!$C$351:$C$375,'Model homes'!$G$351:$G$375)*AD121</f>
        <v>2.3945073178208975</v>
      </c>
      <c r="AE132" s="42">
        <f>LOOKUP(G$69,'Model homes'!$C$351:$C$375,'Model homes'!$G$351:$G$375)*AE121</f>
        <v>1.4465335509158979</v>
      </c>
      <c r="AF132" s="42">
        <f>LOOKUP(H$69,'Model homes'!$C$351:$C$375,'Model homes'!$G$351:$G$375)*AF121</f>
        <v>0.41893413853545486</v>
      </c>
      <c r="AH132" s="213" t="s">
        <v>15</v>
      </c>
      <c r="AJ132" s="207" t="s">
        <v>536</v>
      </c>
      <c r="AK132" s="42">
        <f>LOOKUP(E$69,'Model homes'!$C$351:$C$375,'Model homes'!$H$351:$H$375)*AK121</f>
        <v>7.114387651521574E-2</v>
      </c>
      <c r="AL132" s="42">
        <f>LOOKUP(F$69,'Model homes'!$C$351:$C$375,'Model homes'!$H$351:$H$375)*AL121</f>
        <v>1.8573737931163951E-2</v>
      </c>
      <c r="AM132" s="42">
        <f>LOOKUP(G$69,'Model homes'!$C$351:$C$375,'Model homes'!$H$351:$H$375)*AM121</f>
        <v>1.1220485685463879E-2</v>
      </c>
      <c r="AN132" s="42">
        <f>LOOKUP(H$69,'Model homes'!$C$351:$C$375,'Model homes'!$H$351:$H$375)*AN121</f>
        <v>3.2495924492127533E-3</v>
      </c>
    </row>
    <row r="133" spans="3:40" x14ac:dyDescent="0.3">
      <c r="C133" s="15" t="s">
        <v>16</v>
      </c>
      <c r="D133" s="84" t="s">
        <v>536</v>
      </c>
      <c r="E133" s="42">
        <f>LOOKUP(E$69,'Model homes'!$C$203:$C$227,'Model homes'!$F$203:$F$227)*E122</f>
        <v>0</v>
      </c>
      <c r="F133" s="42">
        <f>LOOKUP(F$69,'Model homes'!$C$203:$C$227,'Model homes'!$F$203:$F$227)*F122</f>
        <v>0</v>
      </c>
      <c r="G133" s="42">
        <f>LOOKUP(G$69,'Model homes'!$C$203:$C$227,'Model homes'!$F$203:$F$227)*G122</f>
        <v>0</v>
      </c>
      <c r="H133" s="42">
        <f>LOOKUP(H$69,'Model homes'!$C$203:$C$227,'Model homes'!$F$203:$F$227)*H122</f>
        <v>0</v>
      </c>
      <c r="J133" s="210" t="s">
        <v>16</v>
      </c>
      <c r="L133" s="207" t="s">
        <v>536</v>
      </c>
      <c r="M133" s="42">
        <f>LOOKUP(E$69,'Model homes'!$C$351:$C$375,'Model homes'!$E$351:$E$375)*M122</f>
        <v>1.223545548824537</v>
      </c>
      <c r="N133" s="42">
        <f>LOOKUP(F$69,'Model homes'!$C$351:$C$375,'Model homes'!$E$351:$E$375)*N122</f>
        <v>0.32762521107092885</v>
      </c>
      <c r="O133" s="42">
        <f>LOOKUP(G$69,'Model homes'!$C$351:$C$375,'Model homes'!$E$351:$E$375)*O122</f>
        <v>0.19405813471113623</v>
      </c>
      <c r="P133" s="42">
        <f>LOOKUP(H$69,'Model homes'!$C$351:$C$375,'Model homes'!$E$351:$E$375)*P122</f>
        <v>5.7320094426523839E-2</v>
      </c>
      <c r="R133" s="210" t="s">
        <v>16</v>
      </c>
      <c r="T133" s="207" t="s">
        <v>536</v>
      </c>
      <c r="U133" s="42">
        <f>LOOKUP(E$69,'Model homes'!$C$351:$C$375,'Model homes'!$F$351:$F$375)*U122</f>
        <v>16.575688994508731</v>
      </c>
      <c r="V133" s="42">
        <f>LOOKUP(F$69,'Model homes'!$C$351:$C$375,'Model homes'!$F$351:$F$375)*V122</f>
        <v>4.4384237355848333</v>
      </c>
      <c r="W133" s="42">
        <f>LOOKUP(G$69,'Model homes'!$C$351:$C$375,'Model homes'!$F$351:$F$375)*W122</f>
        <v>2.6289558986312467</v>
      </c>
      <c r="X133" s="42">
        <f>LOOKUP(H$69,'Model homes'!$C$351:$C$375,'Model homes'!$F$351:$F$375)*X122</f>
        <v>0.77653019069270846</v>
      </c>
      <c r="Z133" s="210" t="s">
        <v>16</v>
      </c>
      <c r="AB133" s="207" t="s">
        <v>536</v>
      </c>
      <c r="AC133" s="42">
        <f>LOOKUP(E$69,'Model homes'!$C$351:$C$375,'Model homes'!$G$351:$G$375)*AC122</f>
        <v>7.4520841481509654</v>
      </c>
      <c r="AD133" s="42">
        <f>LOOKUP(F$69,'Model homes'!$C$351:$C$375,'Model homes'!$G$351:$G$375)*AD122</f>
        <v>1.9954227648507481</v>
      </c>
      <c r="AE133" s="42">
        <f>LOOKUP(G$69,'Model homes'!$C$351:$C$375,'Model homes'!$G$351:$G$375)*AE122</f>
        <v>1.1819237550166484</v>
      </c>
      <c r="AF133" s="42">
        <f>LOOKUP(H$69,'Model homes'!$C$351:$C$375,'Model homes'!$G$351:$G$375)*AF122</f>
        <v>0.34911178211287902</v>
      </c>
      <c r="AH133" s="210" t="s">
        <v>16</v>
      </c>
      <c r="AJ133" s="207" t="s">
        <v>536</v>
      </c>
      <c r="AK133" s="42">
        <f>LOOKUP(E$69,'Model homes'!$C$351:$C$375,'Model homes'!$H$351:$H$375)*AK122</f>
        <v>5.7804399668612789E-2</v>
      </c>
      <c r="AL133" s="42">
        <f>LOOKUP(F$69,'Model homes'!$C$351:$C$375,'Model homes'!$H$351:$H$375)*AL122</f>
        <v>1.5478114942636621E-2</v>
      </c>
      <c r="AM133" s="42">
        <f>LOOKUP(G$69,'Model homes'!$C$351:$C$375,'Model homes'!$H$351:$H$375)*AM122</f>
        <v>9.1679578161717092E-3</v>
      </c>
      <c r="AN133" s="42">
        <f>LOOKUP(H$69,'Model homes'!$C$351:$C$375,'Model homes'!$H$351:$H$375)*AN122</f>
        <v>2.7079937076772945E-3</v>
      </c>
    </row>
    <row r="134" spans="3:40" x14ac:dyDescent="0.3">
      <c r="C134" s="15" t="s">
        <v>17</v>
      </c>
      <c r="D134" s="84" t="s">
        <v>536</v>
      </c>
      <c r="E134" s="42">
        <f>LOOKUP(E$69,'Model homes'!$C$203:$C$227,'Model homes'!$F$203:$F$227)*E123</f>
        <v>279.72651175931861</v>
      </c>
      <c r="F134" s="42">
        <f>LOOKUP(F$69,'Model homes'!$C$203:$C$227,'Model homes'!$F$203:$F$227)*F123</f>
        <v>73.02901073580162</v>
      </c>
      <c r="G134" s="42">
        <f>LOOKUP(G$69,'Model homes'!$C$203:$C$227,'Model homes'!$F$203:$F$227)*G123</f>
        <v>45.474633357337183</v>
      </c>
      <c r="H134" s="42">
        <f>LOOKUP(H$69,'Model homes'!$C$203:$C$227,'Model homes'!$F$203:$F$227)*H123</f>
        <v>12.776885446540076</v>
      </c>
      <c r="J134" s="210" t="s">
        <v>17</v>
      </c>
      <c r="L134" s="207" t="s">
        <v>536</v>
      </c>
      <c r="M134" s="42">
        <f>LOOKUP(E$69,'Model homes'!$C$351:$C$375,'Model homes'!$E$351:$E$375)*M123</f>
        <v>14.306071032409974</v>
      </c>
      <c r="N134" s="42">
        <f>LOOKUP(F$69,'Model homes'!$C$351:$C$375,'Model homes'!$E$351:$E$375)*N123</f>
        <v>3.7349274062085889</v>
      </c>
      <c r="O134" s="42">
        <f>LOOKUP(G$69,'Model homes'!$C$351:$C$375,'Model homes'!$E$351:$E$375)*O123</f>
        <v>2.3257121067688473</v>
      </c>
      <c r="P134" s="42">
        <f>LOOKUP(H$69,'Model homes'!$C$351:$C$375,'Model homes'!$E$351:$E$375)*P123</f>
        <v>0.65344907646237171</v>
      </c>
      <c r="R134" s="210" t="s">
        <v>17</v>
      </c>
      <c r="T134" s="207" t="s">
        <v>536</v>
      </c>
      <c r="U134" s="42">
        <f>LOOKUP(E$69,'Model homes'!$C$351:$C$375,'Model homes'!$F$351:$F$375)*U123</f>
        <v>18.426572380992337</v>
      </c>
      <c r="V134" s="42">
        <f>LOOKUP(F$69,'Model homes'!$C$351:$C$375,'Model homes'!$F$351:$F$375)*V123</f>
        <v>4.8106786295371089</v>
      </c>
      <c r="W134" s="42">
        <f>LOOKUP(G$69,'Model homes'!$C$351:$C$375,'Model homes'!$F$351:$F$375)*W123</f>
        <v>2.9955745624105923</v>
      </c>
      <c r="X134" s="42">
        <f>LOOKUP(H$69,'Model homes'!$C$351:$C$375,'Model homes'!$F$351:$F$375)*X123</f>
        <v>0.84165852926693574</v>
      </c>
      <c r="Z134" s="210" t="s">
        <v>17</v>
      </c>
      <c r="AB134" s="207" t="s">
        <v>536</v>
      </c>
      <c r="AC134" s="42">
        <f>LOOKUP(E$69,'Model homes'!$C$351:$C$375,'Model homes'!$G$351:$G$375)*AC123</f>
        <v>1.3102565535210489</v>
      </c>
      <c r="AD134" s="42">
        <f>LOOKUP(F$69,'Model homes'!$C$351:$C$375,'Model homes'!$G$351:$G$375)*AD123</f>
        <v>0.34207247397441393</v>
      </c>
      <c r="AE134" s="42">
        <f>LOOKUP(G$69,'Model homes'!$C$351:$C$375,'Model homes'!$G$351:$G$375)*AE123</f>
        <v>0.21300603936563772</v>
      </c>
      <c r="AF134" s="42">
        <f>LOOKUP(H$69,'Model homes'!$C$351:$C$375,'Model homes'!$G$351:$G$375)*AF123</f>
        <v>5.9847734076493554E-2</v>
      </c>
      <c r="AH134" s="210" t="s">
        <v>17</v>
      </c>
      <c r="AJ134" s="207" t="s">
        <v>536</v>
      </c>
      <c r="AK134" s="42">
        <f>LOOKUP(E$69,'Model homes'!$C$351:$C$375,'Model homes'!$H$351:$H$375)*AK123</f>
        <v>7.114387651521574E-2</v>
      </c>
      <c r="AL134" s="42">
        <f>LOOKUP(F$69,'Model homes'!$C$351:$C$375,'Model homes'!$H$351:$H$375)*AL123</f>
        <v>1.8573737931163951E-2</v>
      </c>
      <c r="AM134" s="42">
        <f>LOOKUP(G$69,'Model homes'!$C$351:$C$375,'Model homes'!$H$351:$H$375)*AM123</f>
        <v>1.156573139886277E-2</v>
      </c>
      <c r="AN134" s="42">
        <f>LOOKUP(H$69,'Model homes'!$C$351:$C$375,'Model homes'!$H$351:$H$375)*AN123</f>
        <v>3.2495924492127533E-3</v>
      </c>
    </row>
    <row r="135" spans="3:40" x14ac:dyDescent="0.3">
      <c r="C135" s="15" t="s">
        <v>18</v>
      </c>
      <c r="D135" s="84" t="s">
        <v>536</v>
      </c>
      <c r="E135" s="42">
        <f>LOOKUP(E$69,'Model homes'!$C$203:$C$227,'Model homes'!$F$203:$F$227)*E124</f>
        <v>139.86325587965931</v>
      </c>
      <c r="F135" s="42">
        <f>LOOKUP(F$69,'Model homes'!$C$203:$C$227,'Model homes'!$F$203:$F$227)*F124</f>
        <v>37.010177386469593</v>
      </c>
      <c r="G135" s="42">
        <f>LOOKUP(G$69,'Model homes'!$C$203:$C$227,'Model homes'!$F$203:$F$227)*G124</f>
        <v>22.737316678668591</v>
      </c>
      <c r="H135" s="42">
        <f>LOOKUP(H$69,'Model homes'!$C$203:$C$227,'Model homes'!$F$203:$F$227)*H124</f>
        <v>6.475163665214879</v>
      </c>
      <c r="J135" s="210" t="s">
        <v>18</v>
      </c>
      <c r="L135" s="207" t="s">
        <v>536</v>
      </c>
      <c r="M135" s="42">
        <f>LOOKUP(E$69,'Model homes'!$C$351:$C$375,'Model homes'!$E$351:$E$375)*M124</f>
        <v>11.011909939420832</v>
      </c>
      <c r="N135" s="42">
        <f>LOOKUP(F$69,'Model homes'!$C$351:$C$375,'Model homes'!$E$351:$E$375)*N124</f>
        <v>2.9139371714073201</v>
      </c>
      <c r="O135" s="42">
        <f>LOOKUP(G$69,'Model homes'!$C$351:$C$375,'Model homes'!$E$351:$E$375)*O124</f>
        <v>1.7901862927102314</v>
      </c>
      <c r="P135" s="42">
        <f>LOOKUP(H$69,'Model homes'!$C$351:$C$375,'Model homes'!$E$351:$E$375)*P124</f>
        <v>0.5098116633700237</v>
      </c>
      <c r="R135" s="210" t="s">
        <v>18</v>
      </c>
      <c r="T135" s="207" t="s">
        <v>536</v>
      </c>
      <c r="U135" s="42">
        <f>LOOKUP(E$69,'Model homes'!$C$351:$C$375,'Model homes'!$F$351:$F$375)*U124</f>
        <v>37.428975148890679</v>
      </c>
      <c r="V135" s="42">
        <f>LOOKUP(F$69,'Model homes'!$C$351:$C$375,'Model homes'!$F$351:$F$375)*V124</f>
        <v>9.9043383549293402</v>
      </c>
      <c r="W135" s="42">
        <f>LOOKUP(G$69,'Model homes'!$C$351:$C$375,'Model homes'!$F$351:$F$375)*W124</f>
        <v>6.0847608298965143</v>
      </c>
      <c r="X135" s="42">
        <f>LOOKUP(H$69,'Model homes'!$C$351:$C$375,'Model homes'!$F$351:$F$375)*X124</f>
        <v>1.7328263837848674</v>
      </c>
      <c r="Z135" s="210" t="s">
        <v>18</v>
      </c>
      <c r="AB135" s="207" t="s">
        <v>536</v>
      </c>
      <c r="AC135" s="42">
        <f>LOOKUP(E$69,'Model homes'!$C$351:$C$375,'Model homes'!$G$351:$G$375)*AC124</f>
        <v>1.0645834497358522</v>
      </c>
      <c r="AD135" s="42">
        <f>LOOKUP(F$69,'Model homes'!$C$351:$C$375,'Model homes'!$G$351:$G$375)*AD124</f>
        <v>0.28170674327304668</v>
      </c>
      <c r="AE135" s="42">
        <f>LOOKUP(G$69,'Model homes'!$C$351:$C$375,'Model homes'!$G$351:$G$375)*AE124</f>
        <v>0.17306740698458065</v>
      </c>
      <c r="AF135" s="42">
        <f>LOOKUP(H$69,'Model homes'!$C$351:$C$375,'Model homes'!$G$351:$G$375)*AF124</f>
        <v>4.9286369239465277E-2</v>
      </c>
      <c r="AH135" s="210" t="s">
        <v>18</v>
      </c>
      <c r="AJ135" s="207" t="s">
        <v>536</v>
      </c>
      <c r="AK135" s="42">
        <f>LOOKUP(E$69,'Model homes'!$C$351:$C$375,'Model homes'!$H$351:$H$375)*AK124</f>
        <v>5.7804399668612789E-2</v>
      </c>
      <c r="AL135" s="42">
        <f>LOOKUP(F$69,'Model homes'!$C$351:$C$375,'Model homes'!$H$351:$H$375)*AL124</f>
        <v>1.529601947272325E-2</v>
      </c>
      <c r="AM135" s="42">
        <f>LOOKUP(G$69,'Model homes'!$C$351:$C$375,'Model homes'!$H$351:$H$375)*AM124</f>
        <v>9.3971567615760004E-3</v>
      </c>
      <c r="AN135" s="42">
        <f>LOOKUP(H$69,'Model homes'!$C$351:$C$375,'Model homes'!$H$351:$H$375)*AN124</f>
        <v>2.6761349581752086E-3</v>
      </c>
    </row>
    <row r="136" spans="3:40" x14ac:dyDescent="0.3">
      <c r="C136" s="15" t="s">
        <v>19</v>
      </c>
      <c r="D136" s="84" t="s">
        <v>536</v>
      </c>
      <c r="E136" s="42">
        <f>LOOKUP(E$69,'Model homes'!$C$203:$C$227,'Model homes'!$F$203:$F$227)*E125</f>
        <v>170.45834310333476</v>
      </c>
      <c r="F136" s="42">
        <f>LOOKUP(F$69,'Model homes'!$C$203:$C$227,'Model homes'!$F$203:$F$227)*F125</f>
        <v>44.581663530576563</v>
      </c>
      <c r="G136" s="42">
        <f>LOOKUP(G$69,'Model homes'!$C$203:$C$227,'Model homes'!$F$203:$F$227)*G125</f>
        <v>27.711104702127344</v>
      </c>
      <c r="H136" s="42">
        <f>LOOKUP(H$69,'Model homes'!$C$203:$C$227,'Model homes'!$F$203:$F$227)*H125</f>
        <v>7.799842859806442</v>
      </c>
      <c r="J136" s="210" t="s">
        <v>19</v>
      </c>
      <c r="L136" s="207" t="s">
        <v>536</v>
      </c>
      <c r="M136" s="42">
        <f>LOOKUP(E$69,'Model homes'!$C$351:$C$375,'Model homes'!$E$351:$E$375)*M125</f>
        <v>11.011909939420832</v>
      </c>
      <c r="N136" s="42">
        <f>LOOKUP(F$69,'Model homes'!$C$351:$C$375,'Model homes'!$E$351:$E$375)*N125</f>
        <v>2.880054181042119</v>
      </c>
      <c r="O136" s="42">
        <f>LOOKUP(G$69,'Model homes'!$C$351:$C$375,'Model homes'!$E$351:$E$375)*O125</f>
        <v>1.7901862927102314</v>
      </c>
      <c r="P136" s="42">
        <f>LOOKUP(H$69,'Model homes'!$C$351:$C$375,'Model homes'!$E$351:$E$375)*P125</f>
        <v>0.50388362077269788</v>
      </c>
      <c r="R136" s="210" t="s">
        <v>19</v>
      </c>
      <c r="T136" s="207" t="s">
        <v>536</v>
      </c>
      <c r="U136" s="42">
        <f>LOOKUP(E$69,'Model homes'!$C$351:$C$375,'Model homes'!$F$351:$F$375)*U125</f>
        <v>37.428975148890679</v>
      </c>
      <c r="V136" s="42">
        <f>LOOKUP(F$69,'Model homes'!$C$351:$C$375,'Model homes'!$F$351:$F$375)*V125</f>
        <v>9.7891716298720244</v>
      </c>
      <c r="W136" s="42">
        <f>LOOKUP(G$69,'Model homes'!$C$351:$C$375,'Model homes'!$F$351:$F$375)*W125</f>
        <v>6.0847608298965143</v>
      </c>
      <c r="X136" s="42">
        <f>LOOKUP(H$69,'Model homes'!$C$351:$C$375,'Model homes'!$F$351:$F$375)*X125</f>
        <v>1.7126772397873691</v>
      </c>
      <c r="Z136" s="210" t="s">
        <v>19</v>
      </c>
      <c r="AB136" s="207" t="s">
        <v>536</v>
      </c>
      <c r="AC136" s="42">
        <f>LOOKUP(E$69,'Model homes'!$C$351:$C$375,'Model homes'!$G$351:$G$375)*AC125</f>
        <v>1.0645834497358522</v>
      </c>
      <c r="AD136" s="42">
        <f>LOOKUP(F$69,'Model homes'!$C$351:$C$375,'Model homes'!$G$351:$G$375)*AD125</f>
        <v>0.27843108346754614</v>
      </c>
      <c r="AE136" s="42">
        <f>LOOKUP(G$69,'Model homes'!$C$351:$C$375,'Model homes'!$G$351:$G$375)*AE125</f>
        <v>0.17306740698458065</v>
      </c>
      <c r="AF136" s="42">
        <f>LOOKUP(H$69,'Model homes'!$C$351:$C$375,'Model homes'!$G$351:$G$375)*AF125</f>
        <v>4.8713271922727307E-2</v>
      </c>
      <c r="AH136" s="210" t="s">
        <v>19</v>
      </c>
      <c r="AJ136" s="207" t="s">
        <v>536</v>
      </c>
      <c r="AK136" s="42">
        <f>LOOKUP(E$69,'Model homes'!$C$351:$C$375,'Model homes'!$H$351:$H$375)*AK125</f>
        <v>5.7804399668612789E-2</v>
      </c>
      <c r="AL136" s="42">
        <f>LOOKUP(F$69,'Model homes'!$C$351:$C$375,'Model homes'!$H$351:$H$375)*AL125</f>
        <v>1.5118158781179955E-2</v>
      </c>
      <c r="AM136" s="42">
        <f>LOOKUP(G$69,'Model homes'!$C$351:$C$375,'Model homes'!$H$351:$H$375)*AM125</f>
        <v>9.3971567615760004E-3</v>
      </c>
      <c r="AN136" s="42">
        <f>LOOKUP(H$69,'Model homes'!$C$351:$C$375,'Model homes'!$H$351:$H$375)*AN125</f>
        <v>2.645017109824334E-3</v>
      </c>
    </row>
    <row r="137" spans="3:40" x14ac:dyDescent="0.3">
      <c r="C137" s="14" t="s">
        <v>20</v>
      </c>
      <c r="D137" s="84" t="s">
        <v>536</v>
      </c>
      <c r="E137" s="42">
        <f>LOOKUP(E$69,'Model homes'!$C$203:$C$227,'Model homes'!$F$203:$F$227)*E126</f>
        <v>114.35877980748614</v>
      </c>
      <c r="F137" s="42">
        <f>LOOKUP(F$69,'Model homes'!$C$203:$C$227,'Model homes'!$F$203:$F$227)*F126</f>
        <v>31.413451567610505</v>
      </c>
      <c r="G137" s="42">
        <f>LOOKUP(G$69,'Model homes'!$C$203:$C$227,'Model homes'!$F$203:$F$227)*G126</f>
        <v>18.163718496177779</v>
      </c>
      <c r="H137" s="42">
        <f>LOOKUP(H$69,'Model homes'!$C$203:$C$227,'Model homes'!$F$203:$F$227)*H126</f>
        <v>5.4959812287725427</v>
      </c>
      <c r="J137" s="213" t="s">
        <v>20</v>
      </c>
      <c r="L137" s="207" t="s">
        <v>536</v>
      </c>
      <c r="M137" s="42">
        <f>LOOKUP(E$69,'Model homes'!$C$351:$C$375,'Model homes'!$E$351:$E$375)*M126</f>
        <v>0</v>
      </c>
      <c r="N137" s="42">
        <f>LOOKUP(F$69,'Model homes'!$C$351:$C$375,'Model homes'!$E$351:$E$375)*N126</f>
        <v>0</v>
      </c>
      <c r="O137" s="42">
        <f>LOOKUP(G$69,'Model homes'!$C$351:$C$375,'Model homes'!$E$351:$E$375)*O126</f>
        <v>0</v>
      </c>
      <c r="P137" s="42">
        <f>LOOKUP(H$69,'Model homes'!$C$351:$C$375,'Model homes'!$E$351:$E$375)*P126</f>
        <v>0</v>
      </c>
      <c r="R137" s="213" t="s">
        <v>20</v>
      </c>
      <c r="T137" s="207" t="s">
        <v>536</v>
      </c>
      <c r="U137" s="42">
        <f>LOOKUP(E$69,'Model homes'!$C$351:$C$375,'Model homes'!$F$351:$F$375)*U126</f>
        <v>6.5422074209825727</v>
      </c>
      <c r="V137" s="42">
        <f>LOOKUP(F$69,'Model homes'!$C$351:$C$375,'Model homes'!$F$351:$F$375)*V126</f>
        <v>1.7970925914937474</v>
      </c>
      <c r="W137" s="42">
        <f>LOOKUP(G$69,'Model homes'!$C$351:$C$375,'Model homes'!$F$351:$F$375)*W126</f>
        <v>1.0391052977163178</v>
      </c>
      <c r="X137" s="42">
        <f>LOOKUP(H$69,'Model homes'!$C$351:$C$375,'Model homes'!$F$351:$F$375)*X126</f>
        <v>0.3144126689790277</v>
      </c>
      <c r="Z137" s="213" t="s">
        <v>20</v>
      </c>
      <c r="AB137" s="207" t="s">
        <v>536</v>
      </c>
      <c r="AC137" s="42">
        <f>LOOKUP(E$69,'Model homes'!$C$351:$C$375,'Model homes'!$G$351:$G$375)*AC126</f>
        <v>0</v>
      </c>
      <c r="AD137" s="42">
        <f>LOOKUP(F$69,'Model homes'!$C$351:$C$375,'Model homes'!$G$351:$G$375)*AD126</f>
        <v>0</v>
      </c>
      <c r="AE137" s="42">
        <f>LOOKUP(G$69,'Model homes'!$C$351:$C$375,'Model homes'!$G$351:$G$375)*AE126</f>
        <v>0</v>
      </c>
      <c r="AF137" s="42">
        <f>LOOKUP(H$69,'Model homes'!$C$351:$C$375,'Model homes'!$G$351:$G$375)*AF126</f>
        <v>0</v>
      </c>
      <c r="AH137" s="213" t="s">
        <v>20</v>
      </c>
      <c r="AJ137" s="207" t="s">
        <v>536</v>
      </c>
      <c r="AK137" s="42">
        <f>LOOKUP(E$69,'Model homes'!$C$351:$C$375,'Model homes'!$H$351:$H$375)*AK126</f>
        <v>0</v>
      </c>
      <c r="AL137" s="42">
        <f>LOOKUP(F$69,'Model homes'!$C$351:$C$375,'Model homes'!$H$351:$H$375)*AL126</f>
        <v>0</v>
      </c>
      <c r="AM137" s="42">
        <f>LOOKUP(G$69,'Model homes'!$C$351:$C$375,'Model homes'!$H$351:$H$375)*AM126</f>
        <v>0</v>
      </c>
      <c r="AN137" s="42">
        <f>LOOKUP(H$69,'Model homes'!$C$351:$C$375,'Model homes'!$H$351:$H$375)*AN126</f>
        <v>0</v>
      </c>
    </row>
    <row r="138" spans="3:40" x14ac:dyDescent="0.3">
      <c r="C138" s="14" t="s">
        <v>21</v>
      </c>
      <c r="D138" s="84" t="s">
        <v>536</v>
      </c>
      <c r="E138" s="42" t="e">
        <f>LOOKUP(E$69,'Model homes'!$C$203:$C$227,'Model homes'!$F$203:$F$227)*E127</f>
        <v>#N/A</v>
      </c>
      <c r="F138" s="42" t="e">
        <f>LOOKUP(F$69,'Model homes'!$C$203:$C$227,'Model homes'!$F$203:$F$227)*F127</f>
        <v>#N/A</v>
      </c>
      <c r="G138" s="42" t="e">
        <f>LOOKUP(G$69,'Model homes'!$C$203:$C$227,'Model homes'!$F$203:$F$227)*G127</f>
        <v>#N/A</v>
      </c>
      <c r="H138" s="42" t="e">
        <f>LOOKUP(H$69,'Model homes'!$C$203:$C$227,'Model homes'!$F$203:$F$227)*H127</f>
        <v>#N/A</v>
      </c>
      <c r="J138" s="213" t="s">
        <v>21</v>
      </c>
      <c r="L138" s="207" t="s">
        <v>536</v>
      </c>
      <c r="M138" s="159" t="e">
        <f>LOOKUP(E$69,'Model homes'!$C$351:$C$375,'Model homes'!$E$351:$E$375)*M127</f>
        <v>#DIV/0!</v>
      </c>
      <c r="N138" s="159" t="e">
        <f>LOOKUP(F$69,'Model homes'!$C$351:$C$375,'Model homes'!$E$351:$E$375)*N127</f>
        <v>#DIV/0!</v>
      </c>
      <c r="O138" s="159" t="e">
        <f>LOOKUP(G$69,'Model homes'!$C$351:$C$375,'Model homes'!$E$351:$E$375)*O127</f>
        <v>#DIV/0!</v>
      </c>
      <c r="P138" s="159" t="e">
        <f>LOOKUP(H$69,'Model homes'!$C$351:$C$375,'Model homes'!$E$351:$E$375)*P127</f>
        <v>#DIV/0!</v>
      </c>
      <c r="R138" s="213" t="s">
        <v>21</v>
      </c>
      <c r="T138" s="207" t="s">
        <v>536</v>
      </c>
      <c r="U138" s="159" t="e">
        <f>LOOKUP(E$69,'Model homes'!$C$351:$C$375,'Model homes'!$F$351:$F$375)*U127</f>
        <v>#DIV/0!</v>
      </c>
      <c r="V138" s="159" t="e">
        <f>LOOKUP(F$69,'Model homes'!$C$351:$C$375,'Model homes'!$F$351:$F$375)*V127</f>
        <v>#DIV/0!</v>
      </c>
      <c r="W138" s="159" t="e">
        <f>LOOKUP(G$69,'Model homes'!$C$351:$C$375,'Model homes'!$F$351:$F$375)*W127</f>
        <v>#DIV/0!</v>
      </c>
      <c r="X138" s="159" t="e">
        <f>LOOKUP(H$69,'Model homes'!$C$351:$C$375,'Model homes'!$F$351:$F$375)*X127</f>
        <v>#DIV/0!</v>
      </c>
      <c r="Z138" s="213" t="s">
        <v>21</v>
      </c>
      <c r="AB138" s="207" t="s">
        <v>536</v>
      </c>
      <c r="AC138" s="159" t="e">
        <f>LOOKUP(E$69,'Model homes'!$C$351:$C$375,'Model homes'!$G$351:$G$375)*AC127</f>
        <v>#DIV/0!</v>
      </c>
      <c r="AD138" s="159" t="e">
        <f>LOOKUP(F$69,'Model homes'!$C$351:$C$375,'Model homes'!$G$351:$G$375)*AD127</f>
        <v>#DIV/0!</v>
      </c>
      <c r="AE138" s="159" t="e">
        <f>LOOKUP(G$69,'Model homes'!$C$351:$C$375,'Model homes'!$G$351:$G$375)*AE127</f>
        <v>#DIV/0!</v>
      </c>
      <c r="AF138" s="159" t="e">
        <f>LOOKUP(H$69,'Model homes'!$C$351:$C$375,'Model homes'!$G$351:$G$375)*AF127</f>
        <v>#DIV/0!</v>
      </c>
      <c r="AH138" s="213" t="s">
        <v>21</v>
      </c>
      <c r="AJ138" s="207" t="s">
        <v>536</v>
      </c>
      <c r="AK138" s="159" t="e">
        <f>LOOKUP(E$69,'Model homes'!$C$351:$C$375,'Model homes'!$H$351:$H$375)*AK127</f>
        <v>#DIV/0!</v>
      </c>
      <c r="AL138" s="159" t="e">
        <f>LOOKUP(F$69,'Model homes'!$C$351:$C$375,'Model homes'!$H$351:$H$375)*AL127</f>
        <v>#DIV/0!</v>
      </c>
      <c r="AM138" s="159" t="e">
        <f>LOOKUP(G$69,'Model homes'!$C$351:$C$375,'Model homes'!$H$351:$H$375)*AM127</f>
        <v>#DIV/0!</v>
      </c>
      <c r="AN138" s="159" t="e">
        <f>LOOKUP(H$69,'Model homes'!$C$351:$C$375,'Model homes'!$H$351:$H$375)*AN127</f>
        <v>#DIV/0!</v>
      </c>
    </row>
    <row r="139" spans="3:40" x14ac:dyDescent="0.3">
      <c r="C139" s="14" t="s">
        <v>22</v>
      </c>
      <c r="D139" s="84" t="s">
        <v>536</v>
      </c>
      <c r="E139" s="42" t="e">
        <f>LOOKUP(E$69,'Model homes'!$C$203:$C$227,'Model homes'!$F$203:$F$227)*E128</f>
        <v>#N/A</v>
      </c>
      <c r="F139" s="42" t="e">
        <f>LOOKUP(F$69,'Model homes'!$C$203:$C$227,'Model homes'!$F$203:$F$227)*F128</f>
        <v>#N/A</v>
      </c>
      <c r="G139" s="42" t="e">
        <f>LOOKUP(G$69,'Model homes'!$C$203:$C$227,'Model homes'!$F$203:$F$227)*G128</f>
        <v>#N/A</v>
      </c>
      <c r="H139" s="42" t="e">
        <f>LOOKUP(H$69,'Model homes'!$C$203:$C$227,'Model homes'!$F$203:$F$227)*H128</f>
        <v>#N/A</v>
      </c>
      <c r="J139" s="213" t="s">
        <v>22</v>
      </c>
      <c r="L139" s="207" t="s">
        <v>536</v>
      </c>
      <c r="M139" s="159" t="e">
        <f>LOOKUP(E$69,'Model homes'!$C$351:$C$375,'Model homes'!$E$351:$E$375)*M128</f>
        <v>#DIV/0!</v>
      </c>
      <c r="N139" s="159" t="e">
        <f>LOOKUP(F$69,'Model homes'!$C$351:$C$375,'Model homes'!$E$351:$E$375)*N128</f>
        <v>#DIV/0!</v>
      </c>
      <c r="O139" s="159" t="e">
        <f>LOOKUP(G$69,'Model homes'!$C$351:$C$375,'Model homes'!$E$351:$E$375)*O128</f>
        <v>#DIV/0!</v>
      </c>
      <c r="P139" s="159" t="e">
        <f>LOOKUP(H$69,'Model homes'!$C$351:$C$375,'Model homes'!$E$351:$E$375)*P128</f>
        <v>#DIV/0!</v>
      </c>
      <c r="R139" s="213" t="s">
        <v>22</v>
      </c>
      <c r="T139" s="207" t="s">
        <v>536</v>
      </c>
      <c r="U139" s="159" t="e">
        <f>LOOKUP(E$69,'Model homes'!$C$351:$C$375,'Model homes'!$F$351:$F$375)*U128</f>
        <v>#DIV/0!</v>
      </c>
      <c r="V139" s="159" t="e">
        <f>LOOKUP(F$69,'Model homes'!$C$351:$C$375,'Model homes'!$F$351:$F$375)*V128</f>
        <v>#DIV/0!</v>
      </c>
      <c r="W139" s="159" t="e">
        <f>LOOKUP(G$69,'Model homes'!$C$351:$C$375,'Model homes'!$F$351:$F$375)*W128</f>
        <v>#DIV/0!</v>
      </c>
      <c r="X139" s="159" t="e">
        <f>LOOKUP(H$69,'Model homes'!$C$351:$C$375,'Model homes'!$F$351:$F$375)*X128</f>
        <v>#DIV/0!</v>
      </c>
      <c r="Z139" s="213" t="s">
        <v>22</v>
      </c>
      <c r="AB139" s="207" t="s">
        <v>536</v>
      </c>
      <c r="AC139" s="159" t="e">
        <f>LOOKUP(E$69,'Model homes'!$C$351:$C$375,'Model homes'!$G$351:$G$375)*AC128</f>
        <v>#DIV/0!</v>
      </c>
      <c r="AD139" s="159" t="e">
        <f>LOOKUP(F$69,'Model homes'!$C$351:$C$375,'Model homes'!$G$351:$G$375)*AD128</f>
        <v>#DIV/0!</v>
      </c>
      <c r="AE139" s="159" t="e">
        <f>LOOKUP(G$69,'Model homes'!$C$351:$C$375,'Model homes'!$G$351:$G$375)*AE128</f>
        <v>#DIV/0!</v>
      </c>
      <c r="AF139" s="159" t="e">
        <f>LOOKUP(H$69,'Model homes'!$C$351:$C$375,'Model homes'!$G$351:$G$375)*AF128</f>
        <v>#DIV/0!</v>
      </c>
      <c r="AH139" s="213" t="s">
        <v>22</v>
      </c>
      <c r="AJ139" s="207" t="s">
        <v>536</v>
      </c>
      <c r="AK139" s="159" t="e">
        <f>LOOKUP(E$69,'Model homes'!$C$351:$C$375,'Model homes'!$H$351:$H$375)*AK128</f>
        <v>#DIV/0!</v>
      </c>
      <c r="AL139" s="159" t="e">
        <f>LOOKUP(F$69,'Model homes'!$C$351:$C$375,'Model homes'!$H$351:$H$375)*AL128</f>
        <v>#DIV/0!</v>
      </c>
      <c r="AM139" s="159" t="e">
        <f>LOOKUP(G$69,'Model homes'!$C$351:$C$375,'Model homes'!$H$351:$H$375)*AM128</f>
        <v>#DIV/0!</v>
      </c>
      <c r="AN139" s="159" t="e">
        <f>LOOKUP(H$69,'Model homes'!$C$351:$C$375,'Model homes'!$H$351:$H$375)*AN128</f>
        <v>#DIV/0!</v>
      </c>
    </row>
    <row r="141" spans="3:40" x14ac:dyDescent="0.3">
      <c r="C141" s="15" t="s">
        <v>303</v>
      </c>
      <c r="D141" s="17" t="s">
        <v>301</v>
      </c>
      <c r="E141" s="94">
        <f>'Model homes'!E$170</f>
        <v>0.03</v>
      </c>
    </row>
    <row r="143" spans="3:40" x14ac:dyDescent="0.3">
      <c r="C143" s="51" t="s">
        <v>537</v>
      </c>
      <c r="E143" s="209"/>
      <c r="J143" s="51" t="s">
        <v>538</v>
      </c>
    </row>
    <row r="144" spans="3:40" x14ac:dyDescent="0.3">
      <c r="C144" s="209" t="s">
        <v>14</v>
      </c>
      <c r="D144" s="207" t="s">
        <v>536</v>
      </c>
      <c r="E144" s="159" t="e">
        <f t="shared" ref="E144:E152" si="16">M131+U131+AC131+AK131</f>
        <v>#DIV/0!</v>
      </c>
      <c r="F144" s="159" t="e">
        <f t="shared" ref="F144:F152" si="17">N131+V131+AD131+AL131</f>
        <v>#DIV/0!</v>
      </c>
      <c r="G144" s="159" t="e">
        <f t="shared" ref="G144:G152" si="18">O131+W131+AE131+AM131</f>
        <v>#DIV/0!</v>
      </c>
      <c r="H144" s="159" t="e">
        <f t="shared" ref="H144:H152" si="19">P131+X131+AF131+AN131</f>
        <v>#DIV/0!</v>
      </c>
      <c r="J144" s="63">
        <f>(1-(((1+'Model homes'!$E159)/(1+E$141))^E$69))/(E$141-'Model homes'!$E159)</f>
        <v>2.8985052991278306</v>
      </c>
    </row>
    <row r="145" spans="2:19" x14ac:dyDescent="0.3">
      <c r="C145" s="213" t="s">
        <v>15</v>
      </c>
      <c r="D145" s="207" t="s">
        <v>536</v>
      </c>
      <c r="E145" s="42">
        <f t="shared" si="16"/>
        <v>31.149689958341959</v>
      </c>
      <c r="F145" s="42">
        <f t="shared" si="17"/>
        <v>8.1323397917389748</v>
      </c>
      <c r="G145" s="42">
        <f t="shared" si="18"/>
        <v>4.9127861371099497</v>
      </c>
      <c r="H145" s="42">
        <f t="shared" si="19"/>
        <v>1.4228040731277465</v>
      </c>
      <c r="J145" s="63">
        <f>(1-(((1+'Model homes'!$E160)/(1+E$141))^E$69))/(E$141-'Model homes'!$E160)</f>
        <v>2.8844349961152265</v>
      </c>
    </row>
    <row r="146" spans="2:19" x14ac:dyDescent="0.3">
      <c r="C146" s="210" t="s">
        <v>16</v>
      </c>
      <c r="D146" s="207" t="s">
        <v>536</v>
      </c>
      <c r="E146" s="42">
        <f t="shared" si="16"/>
        <v>25.309123091152845</v>
      </c>
      <c r="F146" s="42">
        <f t="shared" si="17"/>
        <v>6.7769498264491475</v>
      </c>
      <c r="G146" s="42">
        <f t="shared" si="18"/>
        <v>4.0141057461752032</v>
      </c>
      <c r="H146" s="42">
        <f t="shared" si="19"/>
        <v>1.1856700609397886</v>
      </c>
      <c r="J146" s="63">
        <f>(1-(((1+'Model homes'!$E161)/(1+E$141))^E$69))/(E$141-'Model homes'!$E161)</f>
        <v>2.8985052991278306</v>
      </c>
    </row>
    <row r="147" spans="2:19" x14ac:dyDescent="0.3">
      <c r="C147" s="210" t="s">
        <v>17</v>
      </c>
      <c r="D147" s="207" t="s">
        <v>536</v>
      </c>
      <c r="E147" s="42">
        <f t="shared" si="16"/>
        <v>34.11404384343858</v>
      </c>
      <c r="F147" s="42">
        <f t="shared" si="17"/>
        <v>8.906252247651274</v>
      </c>
      <c r="G147" s="42">
        <f t="shared" si="18"/>
        <v>5.5458584399439399</v>
      </c>
      <c r="H147" s="42">
        <f t="shared" si="19"/>
        <v>1.558204932255014</v>
      </c>
      <c r="J147" s="63">
        <f>(1-(((1+'Model homes'!$E162)/(1+E$141))^E$69))/(E$141-'Model homes'!$E162)</f>
        <v>2.8985052991278306</v>
      </c>
    </row>
    <row r="148" spans="2:19" x14ac:dyDescent="0.3">
      <c r="C148" s="210" t="s">
        <v>18</v>
      </c>
      <c r="D148" s="207" t="s">
        <v>536</v>
      </c>
      <c r="E148" s="42">
        <f t="shared" si="16"/>
        <v>49.563272937715972</v>
      </c>
      <c r="F148" s="42">
        <f t="shared" si="17"/>
        <v>13.115278289082429</v>
      </c>
      <c r="G148" s="42">
        <f t="shared" si="18"/>
        <v>8.0574116863529017</v>
      </c>
      <c r="H148" s="42">
        <f t="shared" si="19"/>
        <v>2.2946005513525316</v>
      </c>
      <c r="J148" s="63">
        <f>(1-(((1+'Model homes'!$E163)/(1+E$141))^E$69))/(E$141-'Model homes'!$E163)</f>
        <v>2.8985052991278306</v>
      </c>
    </row>
    <row r="149" spans="2:19" x14ac:dyDescent="0.3">
      <c r="C149" s="210" t="s">
        <v>19</v>
      </c>
      <c r="D149" s="207" t="s">
        <v>536</v>
      </c>
      <c r="E149" s="42">
        <f t="shared" si="16"/>
        <v>49.563272937715972</v>
      </c>
      <c r="F149" s="42">
        <f t="shared" si="17"/>
        <v>12.96277505316287</v>
      </c>
      <c r="G149" s="42">
        <f t="shared" si="18"/>
        <v>8.0574116863529017</v>
      </c>
      <c r="H149" s="42">
        <f t="shared" si="19"/>
        <v>2.2679191495926188</v>
      </c>
      <c r="J149" s="63">
        <f>(1-(((1+'Model homes'!$E164)/(1+E$141))^E$69))/(E$141-'Model homes'!$E164)</f>
        <v>2.8985052991278306</v>
      </c>
    </row>
    <row r="150" spans="2:19" x14ac:dyDescent="0.3">
      <c r="C150" s="213" t="s">
        <v>20</v>
      </c>
      <c r="D150" s="207" t="s">
        <v>536</v>
      </c>
      <c r="E150" s="42">
        <f t="shared" si="16"/>
        <v>6.5422074209825727</v>
      </c>
      <c r="F150" s="42">
        <f t="shared" si="17"/>
        <v>1.7970925914937474</v>
      </c>
      <c r="G150" s="42">
        <f t="shared" si="18"/>
        <v>1.0391052977163178</v>
      </c>
      <c r="H150" s="42">
        <f t="shared" si="19"/>
        <v>0.3144126689790277</v>
      </c>
      <c r="J150" s="63">
        <f>(1-(((1+'Model homes'!$E165)/(1+E$141))^E$69))/(E$141-'Model homes'!$E165)</f>
        <v>2.9097944866380918</v>
      </c>
    </row>
    <row r="151" spans="2:19" x14ac:dyDescent="0.3">
      <c r="C151" s="213" t="s">
        <v>21</v>
      </c>
      <c r="D151" s="207" t="s">
        <v>536</v>
      </c>
      <c r="E151" s="159" t="e">
        <f t="shared" si="16"/>
        <v>#DIV/0!</v>
      </c>
      <c r="F151" s="159" t="e">
        <f t="shared" si="17"/>
        <v>#DIV/0!</v>
      </c>
      <c r="G151" s="159" t="e">
        <f t="shared" si="18"/>
        <v>#DIV/0!</v>
      </c>
      <c r="H151" s="159" t="e">
        <f t="shared" si="19"/>
        <v>#DIV/0!</v>
      </c>
      <c r="J151" s="63">
        <f>(1-(((1+'Model homes'!$E166)/(1+E$141))^E$69))/(E$141-'Model homes'!$E166)</f>
        <v>2.8985052991278306</v>
      </c>
    </row>
    <row r="152" spans="2:19" x14ac:dyDescent="0.3">
      <c r="C152" s="213" t="s">
        <v>22</v>
      </c>
      <c r="D152" s="207" t="s">
        <v>536</v>
      </c>
      <c r="E152" s="159" t="e">
        <f t="shared" si="16"/>
        <v>#DIV/0!</v>
      </c>
      <c r="F152" s="159" t="e">
        <f t="shared" si="17"/>
        <v>#DIV/0!</v>
      </c>
      <c r="G152" s="159" t="e">
        <f t="shared" si="18"/>
        <v>#DIV/0!</v>
      </c>
      <c r="H152" s="159" t="e">
        <f t="shared" si="19"/>
        <v>#DIV/0!</v>
      </c>
      <c r="J152" s="63">
        <f>(1-(((1+'Model homes'!$E167)/(1+E$141))^E$69))/(E$141-'Model homes'!$E167)</f>
        <v>2.8985052991278306</v>
      </c>
    </row>
    <row r="153" spans="2:19" x14ac:dyDescent="0.3">
      <c r="C153" s="36"/>
      <c r="D153" s="96"/>
      <c r="E153" s="55"/>
      <c r="F153" s="55"/>
      <c r="G153" s="55"/>
      <c r="H153" s="55"/>
      <c r="R153" s="42"/>
      <c r="S153" s="99"/>
    </row>
    <row r="154" spans="2:19" ht="20.25" x14ac:dyDescent="0.35">
      <c r="C154" s="81" t="s">
        <v>539</v>
      </c>
    </row>
    <row r="155" spans="2:19" s="18" customFormat="1" ht="17.25" thickBot="1" x14ac:dyDescent="0.35">
      <c r="B155" s="19" t="s">
        <v>153</v>
      </c>
      <c r="C155" s="19" t="s">
        <v>154</v>
      </c>
      <c r="D155" s="19" t="s">
        <v>32</v>
      </c>
      <c r="E155" s="19" t="s">
        <v>155</v>
      </c>
      <c r="F155" s="19"/>
      <c r="G155" s="19" t="s">
        <v>155</v>
      </c>
      <c r="H155" s="19"/>
      <c r="I155" s="19"/>
      <c r="J155" s="56" t="s">
        <v>156</v>
      </c>
      <c r="K155" s="56"/>
    </row>
    <row r="156" spans="2:19" s="30" customFormat="1" ht="18" thickTop="1" thickBot="1" x14ac:dyDescent="0.35">
      <c r="B156" s="28"/>
      <c r="C156" s="29" t="s">
        <v>157</v>
      </c>
      <c r="D156" s="29"/>
      <c r="E156" s="335" t="s">
        <v>5</v>
      </c>
      <c r="F156" s="335"/>
      <c r="G156" s="335" t="s">
        <v>6</v>
      </c>
      <c r="H156" s="335"/>
      <c r="I156" s="28"/>
      <c r="J156" s="28"/>
      <c r="K156" s="57"/>
      <c r="M156" s="20"/>
    </row>
    <row r="157" spans="2:19" ht="18" thickTop="1" thickBot="1" x14ac:dyDescent="0.35">
      <c r="B157" s="19"/>
      <c r="C157" s="29" t="s">
        <v>158</v>
      </c>
      <c r="D157" s="29"/>
      <c r="E157" s="29" t="s">
        <v>7</v>
      </c>
      <c r="F157" s="29" t="s">
        <v>8</v>
      </c>
      <c r="G157" s="29" t="s">
        <v>7</v>
      </c>
      <c r="H157" s="29" t="s">
        <v>8</v>
      </c>
      <c r="I157" s="19"/>
      <c r="J157" s="19"/>
      <c r="K157" s="56"/>
      <c r="M157" s="82"/>
      <c r="N157" s="82"/>
    </row>
    <row r="158" spans="2:19" ht="17.25" thickTop="1" x14ac:dyDescent="0.3">
      <c r="C158" s="20" t="s">
        <v>14</v>
      </c>
      <c r="D158" s="20" t="s">
        <v>540</v>
      </c>
      <c r="E158" s="38">
        <f>'Campaign Input'!$G$12*'Data Input'!B$9*'Data Input'!B16</f>
        <v>0</v>
      </c>
      <c r="F158" s="38">
        <f>'Campaign Input'!$G$12*'Data Input'!C$9*'Data Input'!C16</f>
        <v>0</v>
      </c>
      <c r="G158" s="38">
        <f>'Campaign Input'!$G$12*'Data Input'!D$9*'Data Input'!D16</f>
        <v>0</v>
      </c>
      <c r="H158" s="38">
        <f>'Campaign Input'!$G$12*'Data Input'!E$9*'Data Input'!E16</f>
        <v>0</v>
      </c>
    </row>
    <row r="159" spans="2:19" x14ac:dyDescent="0.3">
      <c r="C159" s="14" t="s">
        <v>15</v>
      </c>
      <c r="D159" s="20" t="s">
        <v>540</v>
      </c>
      <c r="E159" s="38">
        <f>'Campaign Input'!$G$12*'Data Input'!B$9*'Data Input'!B17</f>
        <v>0</v>
      </c>
      <c r="F159" s="38">
        <f>'Campaign Input'!$G$12*'Data Input'!C$9*'Data Input'!C17</f>
        <v>0</v>
      </c>
      <c r="G159" s="38">
        <f>'Campaign Input'!$G$12*'Data Input'!D$9*'Data Input'!D17</f>
        <v>0</v>
      </c>
      <c r="H159" s="38">
        <f>'Campaign Input'!$G$12*'Data Input'!E$9*'Data Input'!E17</f>
        <v>0</v>
      </c>
    </row>
    <row r="160" spans="2:19" x14ac:dyDescent="0.3">
      <c r="C160" s="15" t="s">
        <v>16</v>
      </c>
      <c r="D160" s="20" t="s">
        <v>540</v>
      </c>
      <c r="E160" s="38">
        <f>'Campaign Input'!$G$12*'Data Input'!B$9*'Data Input'!B18</f>
        <v>0</v>
      </c>
      <c r="F160" s="38">
        <f>'Campaign Input'!$G$12*'Data Input'!C$9*'Data Input'!C18</f>
        <v>0</v>
      </c>
      <c r="G160" s="38">
        <f>'Campaign Input'!$G$12*'Data Input'!D$9*'Data Input'!D18</f>
        <v>0</v>
      </c>
      <c r="H160" s="38">
        <f>'Campaign Input'!$G$12*'Data Input'!E$9*'Data Input'!E18</f>
        <v>0</v>
      </c>
    </row>
    <row r="161" spans="3:8" x14ac:dyDescent="0.3">
      <c r="C161" s="15" t="s">
        <v>17</v>
      </c>
      <c r="D161" s="20" t="s">
        <v>540</v>
      </c>
      <c r="E161" s="38">
        <f>'Campaign Input'!$G$12*'Data Input'!B$9*'Data Input'!B19</f>
        <v>0</v>
      </c>
      <c r="F161" s="38">
        <f>'Campaign Input'!$G$12*'Data Input'!C$9*'Data Input'!C19</f>
        <v>0</v>
      </c>
      <c r="G161" s="38">
        <f>'Campaign Input'!$G$12*'Data Input'!D$9*'Data Input'!D19</f>
        <v>0</v>
      </c>
      <c r="H161" s="38">
        <f>'Campaign Input'!$G$12*'Data Input'!E$9*'Data Input'!E19</f>
        <v>0</v>
      </c>
    </row>
    <row r="162" spans="3:8" x14ac:dyDescent="0.3">
      <c r="C162" s="15" t="s">
        <v>18</v>
      </c>
      <c r="D162" s="20" t="s">
        <v>540</v>
      </c>
      <c r="E162" s="38">
        <f>'Campaign Input'!$G$12*'Data Input'!B$9*'Data Input'!B20</f>
        <v>0</v>
      </c>
      <c r="F162" s="38">
        <f>'Campaign Input'!$G$12*'Data Input'!C$9*'Data Input'!C20</f>
        <v>0</v>
      </c>
      <c r="G162" s="38">
        <f>'Campaign Input'!$G$12*'Data Input'!D$9*'Data Input'!D20</f>
        <v>0</v>
      </c>
      <c r="H162" s="38">
        <f>'Campaign Input'!$G$12*'Data Input'!E$9*'Data Input'!E20</f>
        <v>0</v>
      </c>
    </row>
    <row r="163" spans="3:8" x14ac:dyDescent="0.3">
      <c r="C163" s="15" t="s">
        <v>19</v>
      </c>
      <c r="D163" s="20" t="s">
        <v>540</v>
      </c>
      <c r="E163" s="38">
        <f>'Campaign Input'!$G$12*'Data Input'!B$9*'Data Input'!B21</f>
        <v>0</v>
      </c>
      <c r="F163" s="38">
        <f>'Campaign Input'!$G$12*'Data Input'!C$9*'Data Input'!C21</f>
        <v>0</v>
      </c>
      <c r="G163" s="38">
        <f>'Campaign Input'!$G$12*'Data Input'!D$9*'Data Input'!D21</f>
        <v>0</v>
      </c>
      <c r="H163" s="38">
        <f>'Campaign Input'!$G$12*'Data Input'!E$9*'Data Input'!E21</f>
        <v>0</v>
      </c>
    </row>
    <row r="164" spans="3:8" x14ac:dyDescent="0.3">
      <c r="C164" s="14" t="s">
        <v>20</v>
      </c>
      <c r="D164" s="20" t="s">
        <v>540</v>
      </c>
      <c r="E164" s="38">
        <f>'Campaign Input'!$G$12*'Data Input'!B$9*'Data Input'!B22</f>
        <v>0</v>
      </c>
      <c r="F164" s="38">
        <f>'Campaign Input'!$G$12*'Data Input'!C$9*'Data Input'!C22</f>
        <v>0</v>
      </c>
      <c r="G164" s="38">
        <f>'Campaign Input'!$G$12*'Data Input'!D$9*'Data Input'!D22</f>
        <v>0</v>
      </c>
      <c r="H164" s="38">
        <f>'Campaign Input'!$G$12*'Data Input'!E$9*'Data Input'!E22</f>
        <v>0</v>
      </c>
    </row>
    <row r="165" spans="3:8" x14ac:dyDescent="0.3">
      <c r="C165" s="14" t="s">
        <v>21</v>
      </c>
      <c r="D165" s="20" t="s">
        <v>540</v>
      </c>
      <c r="E165" s="38">
        <f>'Campaign Input'!$G$12*'Data Input'!B$9*'Data Input'!B23</f>
        <v>0</v>
      </c>
      <c r="F165" s="38">
        <f>'Campaign Input'!$G$12*'Data Input'!C$9*'Data Input'!C23</f>
        <v>0</v>
      </c>
      <c r="G165" s="38">
        <f>'Campaign Input'!$G$12*'Data Input'!D$9*'Data Input'!D23</f>
        <v>0</v>
      </c>
      <c r="H165" s="38">
        <f>'Campaign Input'!$G$12*'Data Input'!E$9*'Data Input'!E23</f>
        <v>0</v>
      </c>
    </row>
    <row r="166" spans="3:8" x14ac:dyDescent="0.3">
      <c r="C166" s="14" t="s">
        <v>22</v>
      </c>
      <c r="D166" s="20" t="s">
        <v>540</v>
      </c>
      <c r="E166" s="38">
        <f>'Campaign Input'!$G$12*'Data Input'!B$9*'Data Input'!B24</f>
        <v>0</v>
      </c>
      <c r="F166" s="38">
        <f>'Campaign Input'!$G$12*'Data Input'!C$9*'Data Input'!C24</f>
        <v>0</v>
      </c>
      <c r="G166" s="38">
        <f>'Campaign Input'!$G$12*'Data Input'!D$9*'Data Input'!D24</f>
        <v>0</v>
      </c>
      <c r="H166" s="38">
        <f>'Campaign Input'!$G$12*'Data Input'!E$9*'Data Input'!E24</f>
        <v>0</v>
      </c>
    </row>
    <row r="168" spans="3:8" x14ac:dyDescent="0.3">
      <c r="C168" s="51" t="s">
        <v>541</v>
      </c>
      <c r="D168" s="207"/>
      <c r="E168" s="208"/>
    </row>
    <row r="169" spans="3:8" x14ac:dyDescent="0.3">
      <c r="C169" s="209" t="s">
        <v>14</v>
      </c>
      <c r="D169" s="210" t="s">
        <v>542</v>
      </c>
      <c r="E169" s="42">
        <f t="shared" ref="E169:H177" si="20">E158*E28*E$69</f>
        <v>0</v>
      </c>
      <c r="F169" s="42">
        <f t="shared" si="20"/>
        <v>0</v>
      </c>
      <c r="G169" s="42">
        <f t="shared" si="20"/>
        <v>0</v>
      </c>
      <c r="H169" s="42">
        <f t="shared" si="20"/>
        <v>0</v>
      </c>
    </row>
    <row r="170" spans="3:8" x14ac:dyDescent="0.3">
      <c r="C170" s="213" t="s">
        <v>15</v>
      </c>
      <c r="D170" s="210" t="s">
        <v>542</v>
      </c>
      <c r="E170" s="42">
        <f t="shared" si="20"/>
        <v>0</v>
      </c>
      <c r="F170" s="42">
        <f t="shared" si="20"/>
        <v>0</v>
      </c>
      <c r="G170" s="42">
        <f t="shared" si="20"/>
        <v>0</v>
      </c>
      <c r="H170" s="42">
        <f t="shared" si="20"/>
        <v>0</v>
      </c>
    </row>
    <row r="171" spans="3:8" x14ac:dyDescent="0.3">
      <c r="C171" s="210" t="s">
        <v>16</v>
      </c>
      <c r="D171" s="210" t="s">
        <v>542</v>
      </c>
      <c r="E171" s="42">
        <f t="shared" si="20"/>
        <v>0</v>
      </c>
      <c r="F171" s="42">
        <f t="shared" si="20"/>
        <v>0</v>
      </c>
      <c r="G171" s="42">
        <f t="shared" si="20"/>
        <v>0</v>
      </c>
      <c r="H171" s="42">
        <f t="shared" si="20"/>
        <v>0</v>
      </c>
    </row>
    <row r="172" spans="3:8" x14ac:dyDescent="0.3">
      <c r="C172" s="210" t="s">
        <v>17</v>
      </c>
      <c r="D172" s="210" t="s">
        <v>542</v>
      </c>
      <c r="E172" s="42">
        <f t="shared" si="20"/>
        <v>0</v>
      </c>
      <c r="F172" s="42">
        <f t="shared" si="20"/>
        <v>0</v>
      </c>
      <c r="G172" s="42">
        <f t="shared" si="20"/>
        <v>0</v>
      </c>
      <c r="H172" s="42">
        <f t="shared" si="20"/>
        <v>0</v>
      </c>
    </row>
    <row r="173" spans="3:8" x14ac:dyDescent="0.3">
      <c r="C173" s="210" t="s">
        <v>18</v>
      </c>
      <c r="D173" s="210" t="s">
        <v>542</v>
      </c>
      <c r="E173" s="42">
        <f t="shared" si="20"/>
        <v>0</v>
      </c>
      <c r="F173" s="42">
        <f t="shared" si="20"/>
        <v>0</v>
      </c>
      <c r="G173" s="42">
        <f t="shared" si="20"/>
        <v>0</v>
      </c>
      <c r="H173" s="42">
        <f t="shared" si="20"/>
        <v>0</v>
      </c>
    </row>
    <row r="174" spans="3:8" x14ac:dyDescent="0.3">
      <c r="C174" s="210" t="s">
        <v>19</v>
      </c>
      <c r="D174" s="210" t="s">
        <v>542</v>
      </c>
      <c r="E174" s="42">
        <f t="shared" si="20"/>
        <v>0</v>
      </c>
      <c r="F174" s="42">
        <f t="shared" si="20"/>
        <v>0</v>
      </c>
      <c r="G174" s="42">
        <f t="shared" si="20"/>
        <v>0</v>
      </c>
      <c r="H174" s="42">
        <f t="shared" si="20"/>
        <v>0</v>
      </c>
    </row>
    <row r="175" spans="3:8" x14ac:dyDescent="0.3">
      <c r="C175" s="213" t="s">
        <v>20</v>
      </c>
      <c r="D175" s="210" t="s">
        <v>542</v>
      </c>
      <c r="E175" s="42">
        <f t="shared" si="20"/>
        <v>0</v>
      </c>
      <c r="F175" s="42">
        <f t="shared" si="20"/>
        <v>0</v>
      </c>
      <c r="G175" s="42">
        <f t="shared" si="20"/>
        <v>0</v>
      </c>
      <c r="H175" s="42">
        <f t="shared" si="20"/>
        <v>0</v>
      </c>
    </row>
    <row r="176" spans="3:8" x14ac:dyDescent="0.3">
      <c r="C176" s="213" t="s">
        <v>21</v>
      </c>
      <c r="D176" s="210" t="s">
        <v>542</v>
      </c>
      <c r="E176" s="42">
        <f t="shared" si="20"/>
        <v>0</v>
      </c>
      <c r="F176" s="42">
        <f t="shared" si="20"/>
        <v>0</v>
      </c>
      <c r="G176" s="42">
        <f t="shared" si="20"/>
        <v>0</v>
      </c>
      <c r="H176" s="42">
        <f t="shared" si="20"/>
        <v>0</v>
      </c>
    </row>
    <row r="177" spans="3:12" x14ac:dyDescent="0.3">
      <c r="C177" s="213" t="s">
        <v>22</v>
      </c>
      <c r="D177" s="210" t="s">
        <v>542</v>
      </c>
      <c r="E177" s="42">
        <f t="shared" si="20"/>
        <v>0</v>
      </c>
      <c r="F177" s="42">
        <f t="shared" si="20"/>
        <v>0</v>
      </c>
      <c r="G177" s="42">
        <f t="shared" si="20"/>
        <v>0</v>
      </c>
      <c r="H177" s="42">
        <f t="shared" si="20"/>
        <v>0</v>
      </c>
    </row>
    <row r="178" spans="3:12" x14ac:dyDescent="0.3">
      <c r="C178" s="216" t="s">
        <v>54</v>
      </c>
      <c r="D178" s="210" t="s">
        <v>542</v>
      </c>
      <c r="E178" s="45">
        <f>SUM(E169:E177)</f>
        <v>0</v>
      </c>
      <c r="F178" s="45">
        <f>SUM(F169:F177)</f>
        <v>0</v>
      </c>
      <c r="G178" s="45">
        <f>SUM(G169:G177)</f>
        <v>0</v>
      </c>
      <c r="H178" s="45">
        <f>SUM(H169:H177)</f>
        <v>0</v>
      </c>
      <c r="J178" s="45">
        <f>SUM(E178:H178)</f>
        <v>0</v>
      </c>
    </row>
    <row r="179" spans="3:12" x14ac:dyDescent="0.3">
      <c r="C179" s="209"/>
      <c r="D179" s="210"/>
      <c r="E179" s="42"/>
    </row>
    <row r="180" spans="3:12" x14ac:dyDescent="0.3">
      <c r="C180" s="51" t="s">
        <v>543</v>
      </c>
      <c r="D180" s="207"/>
      <c r="E180" s="208"/>
      <c r="F180" s="208"/>
      <c r="G180" s="208"/>
      <c r="H180" s="208"/>
    </row>
    <row r="181" spans="3:12" x14ac:dyDescent="0.3">
      <c r="C181" s="209" t="s">
        <v>14</v>
      </c>
      <c r="D181" s="210" t="s">
        <v>69</v>
      </c>
      <c r="E181" s="211" t="e">
        <f>E83*$J83*E158</f>
        <v>#VALUE!</v>
      </c>
      <c r="F181" s="211" t="e">
        <f t="shared" ref="E181:H189" si="21">F83*$J83*F158</f>
        <v>#VALUE!</v>
      </c>
      <c r="G181" s="211" t="e">
        <f t="shared" si="21"/>
        <v>#VALUE!</v>
      </c>
      <c r="H181" s="211" t="e">
        <f t="shared" si="21"/>
        <v>#VALUE!</v>
      </c>
    </row>
    <row r="182" spans="3:12" x14ac:dyDescent="0.3">
      <c r="C182" s="213" t="s">
        <v>15</v>
      </c>
      <c r="D182" s="210" t="s">
        <v>69</v>
      </c>
      <c r="E182" s="211" t="e">
        <f t="shared" si="21"/>
        <v>#VALUE!</v>
      </c>
      <c r="F182" s="211" t="e">
        <f t="shared" si="21"/>
        <v>#VALUE!</v>
      </c>
      <c r="G182" s="211" t="e">
        <f t="shared" si="21"/>
        <v>#VALUE!</v>
      </c>
      <c r="H182" s="211" t="e">
        <f t="shared" si="21"/>
        <v>#VALUE!</v>
      </c>
    </row>
    <row r="183" spans="3:12" x14ac:dyDescent="0.3">
      <c r="C183" s="210" t="s">
        <v>16</v>
      </c>
      <c r="D183" s="210" t="s">
        <v>69</v>
      </c>
      <c r="E183" s="211" t="e">
        <f>E85*$J85*E160</f>
        <v>#VALUE!</v>
      </c>
      <c r="F183" s="211" t="e">
        <f t="shared" si="21"/>
        <v>#VALUE!</v>
      </c>
      <c r="G183" s="211" t="e">
        <f t="shared" si="21"/>
        <v>#VALUE!</v>
      </c>
      <c r="H183" s="211" t="e">
        <f t="shared" si="21"/>
        <v>#VALUE!</v>
      </c>
    </row>
    <row r="184" spans="3:12" x14ac:dyDescent="0.3">
      <c r="C184" s="210" t="s">
        <v>17</v>
      </c>
      <c r="D184" s="210" t="s">
        <v>69</v>
      </c>
      <c r="E184" s="211" t="e">
        <f t="shared" si="21"/>
        <v>#VALUE!</v>
      </c>
      <c r="F184" s="211" t="e">
        <f t="shared" si="21"/>
        <v>#VALUE!</v>
      </c>
      <c r="G184" s="211" t="e">
        <f t="shared" si="21"/>
        <v>#VALUE!</v>
      </c>
      <c r="H184" s="211" t="e">
        <f t="shared" si="21"/>
        <v>#VALUE!</v>
      </c>
    </row>
    <row r="185" spans="3:12" x14ac:dyDescent="0.3">
      <c r="C185" s="210" t="s">
        <v>18</v>
      </c>
      <c r="D185" s="210" t="s">
        <v>69</v>
      </c>
      <c r="E185" s="211" t="e">
        <f t="shared" si="21"/>
        <v>#VALUE!</v>
      </c>
      <c r="F185" s="211" t="e">
        <f t="shared" si="21"/>
        <v>#VALUE!</v>
      </c>
      <c r="G185" s="211" t="e">
        <f t="shared" si="21"/>
        <v>#VALUE!</v>
      </c>
      <c r="H185" s="211" t="e">
        <f t="shared" si="21"/>
        <v>#VALUE!</v>
      </c>
    </row>
    <row r="186" spans="3:12" x14ac:dyDescent="0.3">
      <c r="C186" s="210" t="s">
        <v>19</v>
      </c>
      <c r="D186" s="210" t="s">
        <v>69</v>
      </c>
      <c r="E186" s="211" t="e">
        <f t="shared" si="21"/>
        <v>#VALUE!</v>
      </c>
      <c r="F186" s="211" t="e">
        <f t="shared" si="21"/>
        <v>#VALUE!</v>
      </c>
      <c r="G186" s="211" t="e">
        <f t="shared" si="21"/>
        <v>#VALUE!</v>
      </c>
      <c r="H186" s="211" t="e">
        <f t="shared" si="21"/>
        <v>#VALUE!</v>
      </c>
    </row>
    <row r="187" spans="3:12" ht="15.95" customHeight="1" x14ac:dyDescent="0.3">
      <c r="C187" s="213" t="s">
        <v>20</v>
      </c>
      <c r="D187" s="210" t="s">
        <v>69</v>
      </c>
      <c r="E187" s="211" t="e">
        <f t="shared" si="21"/>
        <v>#VALUE!</v>
      </c>
      <c r="F187" s="211" t="e">
        <f t="shared" si="21"/>
        <v>#VALUE!</v>
      </c>
      <c r="G187" s="211" t="e">
        <f t="shared" si="21"/>
        <v>#VALUE!</v>
      </c>
      <c r="H187" s="211" t="e">
        <f t="shared" si="21"/>
        <v>#VALUE!</v>
      </c>
    </row>
    <row r="188" spans="3:12" ht="15.95" customHeight="1" x14ac:dyDescent="0.3">
      <c r="C188" s="213" t="s">
        <v>21</v>
      </c>
      <c r="D188" s="210" t="s">
        <v>69</v>
      </c>
      <c r="E188" s="211" t="e">
        <f t="shared" si="21"/>
        <v>#VALUE!</v>
      </c>
      <c r="F188" s="211" t="e">
        <f t="shared" si="21"/>
        <v>#VALUE!</v>
      </c>
      <c r="G188" s="211" t="e">
        <f t="shared" si="21"/>
        <v>#VALUE!</v>
      </c>
      <c r="H188" s="211" t="e">
        <f t="shared" si="21"/>
        <v>#VALUE!</v>
      </c>
      <c r="L188" s="17" t="s">
        <v>478</v>
      </c>
    </row>
    <row r="189" spans="3:12" x14ac:dyDescent="0.3">
      <c r="C189" s="213" t="s">
        <v>22</v>
      </c>
      <c r="D189" s="210" t="s">
        <v>69</v>
      </c>
      <c r="E189" s="211" t="e">
        <f t="shared" si="21"/>
        <v>#VALUE!</v>
      </c>
      <c r="F189" s="211" t="e">
        <f t="shared" si="21"/>
        <v>#VALUE!</v>
      </c>
      <c r="G189" s="211" t="e">
        <f t="shared" si="21"/>
        <v>#VALUE!</v>
      </c>
      <c r="H189" s="211" t="e">
        <f t="shared" si="21"/>
        <v>#VALUE!</v>
      </c>
      <c r="L189" s="214" t="e">
        <f>AVERAGE(E181:H189)</f>
        <v>#VALUE!</v>
      </c>
    </row>
    <row r="190" spans="3:12" x14ac:dyDescent="0.3">
      <c r="C190" s="216" t="s">
        <v>54</v>
      </c>
      <c r="D190" s="224" t="s">
        <v>69</v>
      </c>
      <c r="E190" s="214" t="e">
        <f>SUM(E181:E189)</f>
        <v>#VALUE!</v>
      </c>
      <c r="F190" s="214" t="e">
        <f>SUM(F181:F189)</f>
        <v>#VALUE!</v>
      </c>
      <c r="G190" s="214" t="e">
        <f>SUM(G181:G189)</f>
        <v>#VALUE!</v>
      </c>
      <c r="H190" s="214" t="e">
        <f>SUM(H181:H189)</f>
        <v>#VALUE!</v>
      </c>
      <c r="J190" s="45" t="e">
        <f>SUM(E190:H190)</f>
        <v>#VALUE!</v>
      </c>
      <c r="L190" s="214"/>
    </row>
    <row r="191" spans="3:12" x14ac:dyDescent="0.3">
      <c r="C191" s="209"/>
      <c r="D191" s="210"/>
      <c r="E191" s="42"/>
      <c r="F191" s="211"/>
      <c r="G191" s="42"/>
      <c r="H191" s="42"/>
      <c r="J191" s="26"/>
    </row>
    <row r="192" spans="3:12" x14ac:dyDescent="0.3">
      <c r="C192" s="51" t="s">
        <v>522</v>
      </c>
      <c r="D192" s="84"/>
      <c r="E192" s="91"/>
    </row>
    <row r="193" spans="3:10" x14ac:dyDescent="0.3">
      <c r="C193" s="20" t="s">
        <v>14</v>
      </c>
      <c r="D193" s="84" t="s">
        <v>527</v>
      </c>
      <c r="E193" s="99" t="e">
        <f t="shared" ref="E193:H201" si="22">E158*E120</f>
        <v>#VALUE!</v>
      </c>
      <c r="F193" s="99" t="e">
        <f t="shared" si="22"/>
        <v>#VALUE!</v>
      </c>
      <c r="G193" s="99" t="e">
        <f t="shared" si="22"/>
        <v>#VALUE!</v>
      </c>
      <c r="H193" s="99" t="e">
        <f t="shared" si="22"/>
        <v>#VALUE!</v>
      </c>
      <c r="I193" s="219"/>
      <c r="J193" s="219"/>
    </row>
    <row r="194" spans="3:10" x14ac:dyDescent="0.3">
      <c r="C194" s="14" t="s">
        <v>15</v>
      </c>
      <c r="D194" s="84" t="s">
        <v>527</v>
      </c>
      <c r="E194" s="99">
        <f t="shared" si="22"/>
        <v>0</v>
      </c>
      <c r="F194" s="99">
        <f t="shared" si="22"/>
        <v>0</v>
      </c>
      <c r="G194" s="99">
        <f t="shared" si="22"/>
        <v>0</v>
      </c>
      <c r="H194" s="99">
        <f t="shared" si="22"/>
        <v>0</v>
      </c>
      <c r="I194" s="219"/>
      <c r="J194" s="219"/>
    </row>
    <row r="195" spans="3:10" x14ac:dyDescent="0.3">
      <c r="C195" s="15" t="s">
        <v>16</v>
      </c>
      <c r="D195" s="84" t="s">
        <v>527</v>
      </c>
      <c r="E195" s="99">
        <f t="shared" si="22"/>
        <v>0</v>
      </c>
      <c r="F195" s="99">
        <f t="shared" si="22"/>
        <v>0</v>
      </c>
      <c r="G195" s="99">
        <f t="shared" si="22"/>
        <v>0</v>
      </c>
      <c r="H195" s="99">
        <f t="shared" si="22"/>
        <v>0</v>
      </c>
      <c r="I195" s="219"/>
      <c r="J195" s="219"/>
    </row>
    <row r="196" spans="3:10" x14ac:dyDescent="0.3">
      <c r="C196" s="15" t="s">
        <v>17</v>
      </c>
      <c r="D196" s="84" t="s">
        <v>527</v>
      </c>
      <c r="E196" s="99">
        <f t="shared" si="22"/>
        <v>0</v>
      </c>
      <c r="F196" s="99">
        <f t="shared" si="22"/>
        <v>0</v>
      </c>
      <c r="G196" s="99">
        <f t="shared" si="22"/>
        <v>0</v>
      </c>
      <c r="H196" s="99">
        <f t="shared" si="22"/>
        <v>0</v>
      </c>
      <c r="I196" s="219"/>
      <c r="J196" s="219"/>
    </row>
    <row r="197" spans="3:10" x14ac:dyDescent="0.3">
      <c r="C197" s="15" t="s">
        <v>18</v>
      </c>
      <c r="D197" s="84" t="s">
        <v>527</v>
      </c>
      <c r="E197" s="99">
        <f t="shared" si="22"/>
        <v>0</v>
      </c>
      <c r="F197" s="99">
        <f t="shared" si="22"/>
        <v>0</v>
      </c>
      <c r="G197" s="99">
        <f t="shared" si="22"/>
        <v>0</v>
      </c>
      <c r="H197" s="99">
        <f t="shared" si="22"/>
        <v>0</v>
      </c>
      <c r="I197" s="219"/>
      <c r="J197" s="219"/>
    </row>
    <row r="198" spans="3:10" x14ac:dyDescent="0.3">
      <c r="C198" s="15" t="s">
        <v>19</v>
      </c>
      <c r="D198" s="84" t="s">
        <v>527</v>
      </c>
      <c r="E198" s="99">
        <f t="shared" si="22"/>
        <v>0</v>
      </c>
      <c r="F198" s="99">
        <f t="shared" si="22"/>
        <v>0</v>
      </c>
      <c r="G198" s="99">
        <f t="shared" si="22"/>
        <v>0</v>
      </c>
      <c r="H198" s="99">
        <f t="shared" si="22"/>
        <v>0</v>
      </c>
      <c r="I198" s="219"/>
      <c r="J198" s="219"/>
    </row>
    <row r="199" spans="3:10" x14ac:dyDescent="0.3">
      <c r="C199" s="14" t="s">
        <v>20</v>
      </c>
      <c r="D199" s="84" t="s">
        <v>527</v>
      </c>
      <c r="E199" s="99">
        <f t="shared" si="22"/>
        <v>0</v>
      </c>
      <c r="F199" s="99">
        <f t="shared" si="22"/>
        <v>0</v>
      </c>
      <c r="G199" s="99">
        <f t="shared" si="22"/>
        <v>0</v>
      </c>
      <c r="H199" s="99">
        <f t="shared" si="22"/>
        <v>0</v>
      </c>
      <c r="I199" s="219"/>
      <c r="J199" s="219"/>
    </row>
    <row r="200" spans="3:10" x14ac:dyDescent="0.3">
      <c r="C200" s="14" t="s">
        <v>21</v>
      </c>
      <c r="D200" s="84" t="s">
        <v>527</v>
      </c>
      <c r="E200" s="99" t="e">
        <f t="shared" si="22"/>
        <v>#N/A</v>
      </c>
      <c r="F200" s="99" t="e">
        <f t="shared" si="22"/>
        <v>#N/A</v>
      </c>
      <c r="G200" s="99" t="e">
        <f t="shared" si="22"/>
        <v>#N/A</v>
      </c>
      <c r="H200" s="99" t="e">
        <f t="shared" si="22"/>
        <v>#N/A</v>
      </c>
      <c r="I200" s="219"/>
      <c r="J200" s="219"/>
    </row>
    <row r="201" spans="3:10" x14ac:dyDescent="0.3">
      <c r="C201" s="14" t="s">
        <v>22</v>
      </c>
      <c r="D201" s="84" t="s">
        <v>527</v>
      </c>
      <c r="E201" s="99" t="e">
        <f t="shared" si="22"/>
        <v>#N/A</v>
      </c>
      <c r="F201" s="99" t="e">
        <f t="shared" si="22"/>
        <v>#N/A</v>
      </c>
      <c r="G201" s="99" t="e">
        <f t="shared" si="22"/>
        <v>#N/A</v>
      </c>
      <c r="H201" s="99" t="e">
        <f t="shared" si="22"/>
        <v>#N/A</v>
      </c>
      <c r="I201" s="219"/>
      <c r="J201" s="219"/>
    </row>
    <row r="202" spans="3:10" x14ac:dyDescent="0.3">
      <c r="C202" s="102" t="s">
        <v>54</v>
      </c>
      <c r="D202" s="133" t="s">
        <v>527</v>
      </c>
      <c r="E202" s="136" t="e">
        <f>SUM(E193:E201)</f>
        <v>#VALUE!</v>
      </c>
      <c r="F202" s="136" t="e">
        <f t="shared" ref="F202:H202" si="23">SUM(F193:F201)</f>
        <v>#VALUE!</v>
      </c>
      <c r="G202" s="136" t="e">
        <f t="shared" si="23"/>
        <v>#VALUE!</v>
      </c>
      <c r="H202" s="136" t="e">
        <f t="shared" si="23"/>
        <v>#VALUE!</v>
      </c>
      <c r="I202" s="219"/>
      <c r="J202" s="136" t="e">
        <f>SUM(E202:H202)</f>
        <v>#VALUE!</v>
      </c>
    </row>
    <row r="203" spans="3:10" x14ac:dyDescent="0.3">
      <c r="C203" s="20"/>
      <c r="E203" s="42"/>
    </row>
    <row r="204" spans="3:10" x14ac:dyDescent="0.3">
      <c r="C204" s="51" t="s">
        <v>544</v>
      </c>
      <c r="E204" s="208"/>
    </row>
    <row r="205" spans="3:10" x14ac:dyDescent="0.3">
      <c r="C205" s="209" t="s">
        <v>14</v>
      </c>
      <c r="D205" s="207" t="s">
        <v>545</v>
      </c>
      <c r="E205" s="99" t="e">
        <f t="shared" ref="E205:H213" si="24">E158*E120*E$69</f>
        <v>#VALUE!</v>
      </c>
      <c r="F205" s="99" t="e">
        <f t="shared" si="24"/>
        <v>#VALUE!</v>
      </c>
      <c r="G205" s="99" t="e">
        <f t="shared" si="24"/>
        <v>#VALUE!</v>
      </c>
      <c r="H205" s="99" t="e">
        <f t="shared" si="24"/>
        <v>#VALUE!</v>
      </c>
      <c r="I205" s="219"/>
      <c r="J205" s="219"/>
    </row>
    <row r="206" spans="3:10" x14ac:dyDescent="0.3">
      <c r="C206" s="213" t="s">
        <v>15</v>
      </c>
      <c r="D206" s="207" t="s">
        <v>545</v>
      </c>
      <c r="E206" s="99">
        <f t="shared" si="24"/>
        <v>0</v>
      </c>
      <c r="F206" s="99">
        <f t="shared" si="24"/>
        <v>0</v>
      </c>
      <c r="G206" s="99">
        <f t="shared" si="24"/>
        <v>0</v>
      </c>
      <c r="H206" s="99">
        <f t="shared" si="24"/>
        <v>0</v>
      </c>
      <c r="I206" s="219"/>
      <c r="J206" s="219"/>
    </row>
    <row r="207" spans="3:10" x14ac:dyDescent="0.3">
      <c r="C207" s="210" t="s">
        <v>16</v>
      </c>
      <c r="D207" s="207" t="s">
        <v>545</v>
      </c>
      <c r="E207" s="99">
        <f t="shared" si="24"/>
        <v>0</v>
      </c>
      <c r="F207" s="99">
        <f t="shared" si="24"/>
        <v>0</v>
      </c>
      <c r="G207" s="99">
        <f t="shared" si="24"/>
        <v>0</v>
      </c>
      <c r="H207" s="99">
        <f t="shared" si="24"/>
        <v>0</v>
      </c>
      <c r="I207" s="219"/>
      <c r="J207" s="219"/>
    </row>
    <row r="208" spans="3:10" x14ac:dyDescent="0.3">
      <c r="C208" s="210" t="s">
        <v>17</v>
      </c>
      <c r="D208" s="207" t="s">
        <v>545</v>
      </c>
      <c r="E208" s="99">
        <f t="shared" si="24"/>
        <v>0</v>
      </c>
      <c r="F208" s="99">
        <f t="shared" si="24"/>
        <v>0</v>
      </c>
      <c r="G208" s="99">
        <f t="shared" si="24"/>
        <v>0</v>
      </c>
      <c r="H208" s="99">
        <f t="shared" si="24"/>
        <v>0</v>
      </c>
      <c r="I208" s="219"/>
      <c r="J208" s="219"/>
    </row>
    <row r="209" spans="3:10" x14ac:dyDescent="0.3">
      <c r="C209" s="210" t="s">
        <v>18</v>
      </c>
      <c r="D209" s="207" t="s">
        <v>545</v>
      </c>
      <c r="E209" s="99">
        <f t="shared" si="24"/>
        <v>0</v>
      </c>
      <c r="F209" s="99">
        <f t="shared" si="24"/>
        <v>0</v>
      </c>
      <c r="G209" s="99">
        <f t="shared" si="24"/>
        <v>0</v>
      </c>
      <c r="H209" s="99">
        <f t="shared" si="24"/>
        <v>0</v>
      </c>
      <c r="I209" s="219"/>
      <c r="J209" s="219"/>
    </row>
    <row r="210" spans="3:10" x14ac:dyDescent="0.3">
      <c r="C210" s="210" t="s">
        <v>19</v>
      </c>
      <c r="D210" s="207" t="s">
        <v>545</v>
      </c>
      <c r="E210" s="99">
        <f t="shared" si="24"/>
        <v>0</v>
      </c>
      <c r="F210" s="99">
        <f t="shared" si="24"/>
        <v>0</v>
      </c>
      <c r="G210" s="99">
        <f t="shared" si="24"/>
        <v>0</v>
      </c>
      <c r="H210" s="99">
        <f t="shared" si="24"/>
        <v>0</v>
      </c>
      <c r="I210" s="219"/>
      <c r="J210" s="219"/>
    </row>
    <row r="211" spans="3:10" x14ac:dyDescent="0.3">
      <c r="C211" s="213" t="s">
        <v>20</v>
      </c>
      <c r="D211" s="207" t="s">
        <v>545</v>
      </c>
      <c r="E211" s="99">
        <f t="shared" si="24"/>
        <v>0</v>
      </c>
      <c r="F211" s="99">
        <f t="shared" si="24"/>
        <v>0</v>
      </c>
      <c r="G211" s="99">
        <f t="shared" si="24"/>
        <v>0</v>
      </c>
      <c r="H211" s="99">
        <f t="shared" si="24"/>
        <v>0</v>
      </c>
      <c r="I211" s="219"/>
      <c r="J211" s="219"/>
    </row>
    <row r="212" spans="3:10" x14ac:dyDescent="0.3">
      <c r="C212" s="213" t="s">
        <v>21</v>
      </c>
      <c r="D212" s="207" t="s">
        <v>545</v>
      </c>
      <c r="E212" s="99" t="e">
        <f t="shared" si="24"/>
        <v>#N/A</v>
      </c>
      <c r="F212" s="99" t="e">
        <f t="shared" si="24"/>
        <v>#N/A</v>
      </c>
      <c r="G212" s="99" t="e">
        <f t="shared" si="24"/>
        <v>#N/A</v>
      </c>
      <c r="H212" s="99" t="e">
        <f t="shared" si="24"/>
        <v>#N/A</v>
      </c>
      <c r="I212" s="219"/>
      <c r="J212" s="219"/>
    </row>
    <row r="213" spans="3:10" x14ac:dyDescent="0.3">
      <c r="C213" s="213" t="s">
        <v>22</v>
      </c>
      <c r="D213" s="207" t="s">
        <v>545</v>
      </c>
      <c r="E213" s="99" t="e">
        <f t="shared" si="24"/>
        <v>#N/A</v>
      </c>
      <c r="F213" s="99" t="e">
        <f t="shared" si="24"/>
        <v>#N/A</v>
      </c>
      <c r="G213" s="99" t="e">
        <f t="shared" si="24"/>
        <v>#N/A</v>
      </c>
      <c r="H213" s="99" t="e">
        <f t="shared" si="24"/>
        <v>#N/A</v>
      </c>
      <c r="I213" s="219"/>
      <c r="J213" s="219"/>
    </row>
    <row r="214" spans="3:10" x14ac:dyDescent="0.3">
      <c r="C214" s="216" t="s">
        <v>54</v>
      </c>
      <c r="D214" s="207" t="s">
        <v>545</v>
      </c>
      <c r="E214" s="136" t="e">
        <f>SUM(E205:E213)</f>
        <v>#VALUE!</v>
      </c>
      <c r="F214" s="136" t="e">
        <f>SUM(F205:F213)</f>
        <v>#VALUE!</v>
      </c>
      <c r="G214" s="136" t="e">
        <f>SUM(G205:G213)</f>
        <v>#VALUE!</v>
      </c>
      <c r="H214" s="136" t="e">
        <f>SUM(H205:H213)</f>
        <v>#VALUE!</v>
      </c>
      <c r="I214" s="219"/>
      <c r="J214" s="136" t="e">
        <f>SUM(E214:H214)</f>
        <v>#VALUE!</v>
      </c>
    </row>
    <row r="216" spans="3:10" x14ac:dyDescent="0.3">
      <c r="C216" s="51" t="s">
        <v>313</v>
      </c>
      <c r="E216" s="208"/>
    </row>
    <row r="217" spans="3:10" x14ac:dyDescent="0.3">
      <c r="C217" s="209" t="s">
        <v>14</v>
      </c>
      <c r="D217" s="207" t="s">
        <v>272</v>
      </c>
      <c r="E217" s="42" t="e">
        <f t="shared" ref="E217:H225" si="25">E158*E131</f>
        <v>#VALUE!</v>
      </c>
      <c r="F217" s="42" t="e">
        <f t="shared" si="25"/>
        <v>#VALUE!</v>
      </c>
      <c r="G217" s="42" t="e">
        <f t="shared" si="25"/>
        <v>#VALUE!</v>
      </c>
      <c r="H217" s="42" t="e">
        <f t="shared" si="25"/>
        <v>#VALUE!</v>
      </c>
    </row>
    <row r="218" spans="3:10" x14ac:dyDescent="0.3">
      <c r="C218" s="213" t="s">
        <v>15</v>
      </c>
      <c r="D218" s="210" t="s">
        <v>272</v>
      </c>
      <c r="E218" s="42">
        <f t="shared" si="25"/>
        <v>0</v>
      </c>
      <c r="F218" s="42">
        <f t="shared" si="25"/>
        <v>0</v>
      </c>
      <c r="G218" s="42">
        <f t="shared" si="25"/>
        <v>0</v>
      </c>
      <c r="H218" s="42">
        <f t="shared" si="25"/>
        <v>0</v>
      </c>
    </row>
    <row r="219" spans="3:10" x14ac:dyDescent="0.3">
      <c r="C219" s="210" t="s">
        <v>16</v>
      </c>
      <c r="D219" s="210" t="s">
        <v>272</v>
      </c>
      <c r="E219" s="42">
        <f t="shared" si="25"/>
        <v>0</v>
      </c>
      <c r="F219" s="42">
        <f t="shared" si="25"/>
        <v>0</v>
      </c>
      <c r="G219" s="42">
        <f t="shared" si="25"/>
        <v>0</v>
      </c>
      <c r="H219" s="42">
        <f t="shared" si="25"/>
        <v>0</v>
      </c>
    </row>
    <row r="220" spans="3:10" x14ac:dyDescent="0.3">
      <c r="C220" s="210" t="s">
        <v>17</v>
      </c>
      <c r="D220" s="210" t="s">
        <v>272</v>
      </c>
      <c r="E220" s="42">
        <f t="shared" si="25"/>
        <v>0</v>
      </c>
      <c r="F220" s="42">
        <f t="shared" si="25"/>
        <v>0</v>
      </c>
      <c r="G220" s="42">
        <f t="shared" si="25"/>
        <v>0</v>
      </c>
      <c r="H220" s="42">
        <f t="shared" si="25"/>
        <v>0</v>
      </c>
    </row>
    <row r="221" spans="3:10" x14ac:dyDescent="0.3">
      <c r="C221" s="210" t="s">
        <v>18</v>
      </c>
      <c r="D221" s="210" t="s">
        <v>272</v>
      </c>
      <c r="E221" s="42">
        <f t="shared" si="25"/>
        <v>0</v>
      </c>
      <c r="F221" s="42">
        <f t="shared" si="25"/>
        <v>0</v>
      </c>
      <c r="G221" s="42">
        <f t="shared" si="25"/>
        <v>0</v>
      </c>
      <c r="H221" s="42">
        <f t="shared" si="25"/>
        <v>0</v>
      </c>
    </row>
    <row r="222" spans="3:10" x14ac:dyDescent="0.3">
      <c r="C222" s="210" t="s">
        <v>19</v>
      </c>
      <c r="D222" s="210" t="s">
        <v>272</v>
      </c>
      <c r="E222" s="42">
        <f t="shared" si="25"/>
        <v>0</v>
      </c>
      <c r="F222" s="42">
        <f t="shared" si="25"/>
        <v>0</v>
      </c>
      <c r="G222" s="42">
        <f t="shared" si="25"/>
        <v>0</v>
      </c>
      <c r="H222" s="42">
        <f t="shared" si="25"/>
        <v>0</v>
      </c>
    </row>
    <row r="223" spans="3:10" x14ac:dyDescent="0.3">
      <c r="C223" s="213" t="s">
        <v>20</v>
      </c>
      <c r="D223" s="210" t="s">
        <v>272</v>
      </c>
      <c r="E223" s="42">
        <f t="shared" si="25"/>
        <v>0</v>
      </c>
      <c r="F223" s="42">
        <f t="shared" si="25"/>
        <v>0</v>
      </c>
      <c r="G223" s="42">
        <f t="shared" si="25"/>
        <v>0</v>
      </c>
      <c r="H223" s="42">
        <f t="shared" si="25"/>
        <v>0</v>
      </c>
    </row>
    <row r="224" spans="3:10" x14ac:dyDescent="0.3">
      <c r="C224" s="213" t="s">
        <v>21</v>
      </c>
      <c r="D224" s="210" t="s">
        <v>272</v>
      </c>
      <c r="E224" s="42" t="e">
        <f t="shared" si="25"/>
        <v>#N/A</v>
      </c>
      <c r="F224" s="42" t="e">
        <f t="shared" si="25"/>
        <v>#N/A</v>
      </c>
      <c r="G224" s="42" t="e">
        <f t="shared" si="25"/>
        <v>#N/A</v>
      </c>
      <c r="H224" s="42" t="e">
        <f t="shared" si="25"/>
        <v>#N/A</v>
      </c>
    </row>
    <row r="225" spans="3:12" x14ac:dyDescent="0.3">
      <c r="C225" s="213" t="s">
        <v>22</v>
      </c>
      <c r="D225" s="210" t="s">
        <v>272</v>
      </c>
      <c r="E225" s="42" t="e">
        <f t="shared" si="25"/>
        <v>#N/A</v>
      </c>
      <c r="F225" s="42" t="e">
        <f t="shared" si="25"/>
        <v>#N/A</v>
      </c>
      <c r="G225" s="42" t="e">
        <f t="shared" si="25"/>
        <v>#N/A</v>
      </c>
      <c r="H225" s="42" t="e">
        <f t="shared" si="25"/>
        <v>#N/A</v>
      </c>
    </row>
    <row r="226" spans="3:12" x14ac:dyDescent="0.3">
      <c r="C226" s="216" t="s">
        <v>54</v>
      </c>
      <c r="D226" s="207" t="s">
        <v>272</v>
      </c>
      <c r="E226" s="45" t="e">
        <f>SUM(E217:E225)</f>
        <v>#VALUE!</v>
      </c>
      <c r="F226" s="45" t="e">
        <f>SUM(F217:F225)</f>
        <v>#VALUE!</v>
      </c>
      <c r="G226" s="45" t="e">
        <f>SUM(G217:G225)</f>
        <v>#VALUE!</v>
      </c>
      <c r="H226" s="45" t="e">
        <f>SUM(H217:H225)</f>
        <v>#VALUE!</v>
      </c>
      <c r="J226" s="45" t="e">
        <f>SUM(E226:H226)</f>
        <v>#VALUE!</v>
      </c>
    </row>
    <row r="228" spans="3:12" x14ac:dyDescent="0.3">
      <c r="C228" s="51" t="s">
        <v>546</v>
      </c>
      <c r="E228" s="208"/>
    </row>
    <row r="229" spans="3:12" x14ac:dyDescent="0.3">
      <c r="C229" s="209" t="s">
        <v>14</v>
      </c>
      <c r="D229" s="207" t="s">
        <v>69</v>
      </c>
      <c r="E229" s="42" t="e">
        <f t="shared" ref="E229:E237" si="26">E158*E131*$J144</f>
        <v>#VALUE!</v>
      </c>
      <c r="F229" s="42" t="e">
        <f t="shared" ref="F229:H229" si="27">F158*F131*$J144</f>
        <v>#VALUE!</v>
      </c>
      <c r="G229" s="42" t="e">
        <f t="shared" si="27"/>
        <v>#VALUE!</v>
      </c>
      <c r="H229" s="42" t="e">
        <f t="shared" si="27"/>
        <v>#VALUE!</v>
      </c>
      <c r="L229" s="169"/>
    </row>
    <row r="230" spans="3:12" x14ac:dyDescent="0.3">
      <c r="C230" s="213" t="s">
        <v>15</v>
      </c>
      <c r="D230" s="207" t="s">
        <v>69</v>
      </c>
      <c r="E230" s="42">
        <f t="shared" si="26"/>
        <v>0</v>
      </c>
      <c r="F230" s="42">
        <f t="shared" ref="F230:H237" si="28">F159*F132*$J145</f>
        <v>0</v>
      </c>
      <c r="G230" s="42">
        <f t="shared" si="28"/>
        <v>0</v>
      </c>
      <c r="H230" s="42">
        <f t="shared" si="28"/>
        <v>0</v>
      </c>
    </row>
    <row r="231" spans="3:12" x14ac:dyDescent="0.3">
      <c r="C231" s="210" t="s">
        <v>16</v>
      </c>
      <c r="D231" s="207" t="s">
        <v>69</v>
      </c>
      <c r="E231" s="42">
        <f t="shared" si="26"/>
        <v>0</v>
      </c>
      <c r="F231" s="42">
        <f t="shared" si="28"/>
        <v>0</v>
      </c>
      <c r="G231" s="42">
        <f t="shared" si="28"/>
        <v>0</v>
      </c>
      <c r="H231" s="42">
        <f t="shared" si="28"/>
        <v>0</v>
      </c>
    </row>
    <row r="232" spans="3:12" x14ac:dyDescent="0.3">
      <c r="C232" s="210" t="s">
        <v>17</v>
      </c>
      <c r="D232" s="207" t="s">
        <v>69</v>
      </c>
      <c r="E232" s="42">
        <f t="shared" si="26"/>
        <v>0</v>
      </c>
      <c r="F232" s="42">
        <f t="shared" si="28"/>
        <v>0</v>
      </c>
      <c r="G232" s="42">
        <f t="shared" si="28"/>
        <v>0</v>
      </c>
      <c r="H232" s="42">
        <f t="shared" si="28"/>
        <v>0</v>
      </c>
    </row>
    <row r="233" spans="3:12" x14ac:dyDescent="0.3">
      <c r="C233" s="210" t="s">
        <v>18</v>
      </c>
      <c r="D233" s="207" t="s">
        <v>69</v>
      </c>
      <c r="E233" s="42">
        <f t="shared" si="26"/>
        <v>0</v>
      </c>
      <c r="F233" s="42">
        <f t="shared" si="28"/>
        <v>0</v>
      </c>
      <c r="G233" s="42">
        <f t="shared" si="28"/>
        <v>0</v>
      </c>
      <c r="H233" s="42">
        <f t="shared" si="28"/>
        <v>0</v>
      </c>
    </row>
    <row r="234" spans="3:12" x14ac:dyDescent="0.3">
      <c r="C234" s="210" t="s">
        <v>19</v>
      </c>
      <c r="D234" s="207" t="s">
        <v>69</v>
      </c>
      <c r="E234" s="42">
        <f t="shared" si="26"/>
        <v>0</v>
      </c>
      <c r="F234" s="42">
        <f t="shared" si="28"/>
        <v>0</v>
      </c>
      <c r="G234" s="42">
        <f t="shared" si="28"/>
        <v>0</v>
      </c>
      <c r="H234" s="42">
        <f t="shared" si="28"/>
        <v>0</v>
      </c>
    </row>
    <row r="235" spans="3:12" x14ac:dyDescent="0.3">
      <c r="C235" s="213" t="s">
        <v>20</v>
      </c>
      <c r="D235" s="207" t="s">
        <v>69</v>
      </c>
      <c r="E235" s="42">
        <f t="shared" si="26"/>
        <v>0</v>
      </c>
      <c r="F235" s="42">
        <f t="shared" si="28"/>
        <v>0</v>
      </c>
      <c r="G235" s="42">
        <f t="shared" si="28"/>
        <v>0</v>
      </c>
      <c r="H235" s="42">
        <f t="shared" si="28"/>
        <v>0</v>
      </c>
    </row>
    <row r="236" spans="3:12" x14ac:dyDescent="0.3">
      <c r="C236" s="213" t="s">
        <v>21</v>
      </c>
      <c r="D236" s="207" t="s">
        <v>69</v>
      </c>
      <c r="E236" s="42" t="e">
        <f t="shared" si="26"/>
        <v>#N/A</v>
      </c>
      <c r="F236" s="42" t="e">
        <f t="shared" si="28"/>
        <v>#N/A</v>
      </c>
      <c r="G236" s="42" t="e">
        <f t="shared" si="28"/>
        <v>#N/A</v>
      </c>
      <c r="H236" s="42" t="e">
        <f t="shared" si="28"/>
        <v>#N/A</v>
      </c>
    </row>
    <row r="237" spans="3:12" x14ac:dyDescent="0.3">
      <c r="C237" s="213" t="s">
        <v>22</v>
      </c>
      <c r="D237" s="207" t="s">
        <v>69</v>
      </c>
      <c r="E237" s="42" t="e">
        <f t="shared" si="26"/>
        <v>#N/A</v>
      </c>
      <c r="F237" s="42" t="e">
        <f t="shared" si="28"/>
        <v>#N/A</v>
      </c>
      <c r="G237" s="42" t="e">
        <f t="shared" si="28"/>
        <v>#N/A</v>
      </c>
      <c r="H237" s="42" t="e">
        <f t="shared" si="28"/>
        <v>#N/A</v>
      </c>
    </row>
    <row r="238" spans="3:12" x14ac:dyDescent="0.3">
      <c r="C238" s="216" t="s">
        <v>54</v>
      </c>
      <c r="D238" s="207" t="s">
        <v>69</v>
      </c>
      <c r="E238" s="45" t="e">
        <f>SUM(E229:E237)</f>
        <v>#VALUE!</v>
      </c>
      <c r="F238" s="45" t="e">
        <f>SUM(F229:F237)</f>
        <v>#VALUE!</v>
      </c>
      <c r="G238" s="45" t="e">
        <f>SUM(G229:G237)</f>
        <v>#VALUE!</v>
      </c>
      <c r="H238" s="45" t="e">
        <f>SUM(H229:H237)</f>
        <v>#VALUE!</v>
      </c>
      <c r="J238" s="45" t="e">
        <f>SUM(E238:H238)</f>
        <v>#VALUE!</v>
      </c>
    </row>
    <row r="240" spans="3:12" x14ac:dyDescent="0.3">
      <c r="C240" s="51" t="s">
        <v>547</v>
      </c>
    </row>
    <row r="241" spans="3:12" x14ac:dyDescent="0.3">
      <c r="C241" s="209" t="s">
        <v>14</v>
      </c>
      <c r="D241" s="207" t="s">
        <v>548</v>
      </c>
      <c r="E241" s="160" t="e">
        <f t="shared" ref="E241:E249" si="29">E158*(M120+U120+AC120+AK120)</f>
        <v>#DIV/0!</v>
      </c>
      <c r="F241" s="160" t="e">
        <f t="shared" ref="F241:F249" si="30">F158*(N120+V120+AD120+AL120)</f>
        <v>#DIV/0!</v>
      </c>
      <c r="G241" s="160" t="e">
        <f t="shared" ref="G241:G249" si="31">G158*(O120+W120+AE120+AM120)</f>
        <v>#DIV/0!</v>
      </c>
      <c r="H241" s="160" t="e">
        <f t="shared" ref="H241:H249" si="32">H158*(P120+X120+AF120+AN120)</f>
        <v>#DIV/0!</v>
      </c>
    </row>
    <row r="242" spans="3:12" x14ac:dyDescent="0.3">
      <c r="C242" s="213" t="s">
        <v>15</v>
      </c>
      <c r="D242" s="207" t="s">
        <v>548</v>
      </c>
      <c r="E242" s="130">
        <f t="shared" si="29"/>
        <v>0</v>
      </c>
      <c r="F242" s="130">
        <f t="shared" si="30"/>
        <v>0</v>
      </c>
      <c r="G242" s="130">
        <f t="shared" si="31"/>
        <v>0</v>
      </c>
      <c r="H242" s="130">
        <f t="shared" si="32"/>
        <v>0</v>
      </c>
    </row>
    <row r="243" spans="3:12" x14ac:dyDescent="0.3">
      <c r="C243" s="210" t="s">
        <v>16</v>
      </c>
      <c r="D243" s="207" t="s">
        <v>548</v>
      </c>
      <c r="E243" s="130">
        <f t="shared" si="29"/>
        <v>0</v>
      </c>
      <c r="F243" s="130">
        <f t="shared" si="30"/>
        <v>0</v>
      </c>
      <c r="G243" s="130">
        <f t="shared" si="31"/>
        <v>0</v>
      </c>
      <c r="H243" s="130">
        <f t="shared" si="32"/>
        <v>0</v>
      </c>
    </row>
    <row r="244" spans="3:12" x14ac:dyDescent="0.3">
      <c r="C244" s="210" t="s">
        <v>17</v>
      </c>
      <c r="D244" s="207" t="s">
        <v>548</v>
      </c>
      <c r="E244" s="130">
        <f t="shared" si="29"/>
        <v>0</v>
      </c>
      <c r="F244" s="130">
        <f t="shared" si="30"/>
        <v>0</v>
      </c>
      <c r="G244" s="130">
        <f t="shared" si="31"/>
        <v>0</v>
      </c>
      <c r="H244" s="130">
        <f t="shared" si="32"/>
        <v>0</v>
      </c>
    </row>
    <row r="245" spans="3:12" x14ac:dyDescent="0.3">
      <c r="C245" s="210" t="s">
        <v>18</v>
      </c>
      <c r="D245" s="207" t="s">
        <v>548</v>
      </c>
      <c r="E245" s="130">
        <f t="shared" si="29"/>
        <v>0</v>
      </c>
      <c r="F245" s="130">
        <f t="shared" si="30"/>
        <v>0</v>
      </c>
      <c r="G245" s="130">
        <f t="shared" si="31"/>
        <v>0</v>
      </c>
      <c r="H245" s="130">
        <f t="shared" si="32"/>
        <v>0</v>
      </c>
    </row>
    <row r="246" spans="3:12" x14ac:dyDescent="0.3">
      <c r="C246" s="210" t="s">
        <v>19</v>
      </c>
      <c r="D246" s="207" t="s">
        <v>548</v>
      </c>
      <c r="E246" s="130">
        <f t="shared" si="29"/>
        <v>0</v>
      </c>
      <c r="F246" s="130">
        <f t="shared" si="30"/>
        <v>0</v>
      </c>
      <c r="G246" s="130">
        <f t="shared" si="31"/>
        <v>0</v>
      </c>
      <c r="H246" s="130">
        <f t="shared" si="32"/>
        <v>0</v>
      </c>
    </row>
    <row r="247" spans="3:12" x14ac:dyDescent="0.3">
      <c r="C247" s="213" t="s">
        <v>20</v>
      </c>
      <c r="D247" s="207" t="s">
        <v>548</v>
      </c>
      <c r="E247" s="130">
        <f t="shared" si="29"/>
        <v>0</v>
      </c>
      <c r="F247" s="130">
        <f t="shared" si="30"/>
        <v>0</v>
      </c>
      <c r="G247" s="130">
        <f t="shared" si="31"/>
        <v>0</v>
      </c>
      <c r="H247" s="130">
        <f t="shared" si="32"/>
        <v>0</v>
      </c>
    </row>
    <row r="248" spans="3:12" x14ac:dyDescent="0.3">
      <c r="C248" s="213" t="s">
        <v>21</v>
      </c>
      <c r="D248" s="207" t="s">
        <v>548</v>
      </c>
      <c r="E248" s="160" t="e">
        <f t="shared" si="29"/>
        <v>#DIV/0!</v>
      </c>
      <c r="F248" s="160" t="e">
        <f t="shared" si="30"/>
        <v>#DIV/0!</v>
      </c>
      <c r="G248" s="160" t="e">
        <f t="shared" si="31"/>
        <v>#DIV/0!</v>
      </c>
      <c r="H248" s="160" t="e">
        <f t="shared" si="32"/>
        <v>#DIV/0!</v>
      </c>
    </row>
    <row r="249" spans="3:12" x14ac:dyDescent="0.3">
      <c r="C249" s="213" t="s">
        <v>22</v>
      </c>
      <c r="D249" s="207" t="s">
        <v>548</v>
      </c>
      <c r="E249" s="160" t="e">
        <f t="shared" si="29"/>
        <v>#DIV/0!</v>
      </c>
      <c r="F249" s="160" t="e">
        <f t="shared" si="30"/>
        <v>#DIV/0!</v>
      </c>
      <c r="G249" s="160" t="e">
        <f t="shared" si="31"/>
        <v>#DIV/0!</v>
      </c>
      <c r="H249" s="160" t="e">
        <f t="shared" si="32"/>
        <v>#DIV/0!</v>
      </c>
    </row>
    <row r="250" spans="3:12" x14ac:dyDescent="0.3">
      <c r="C250" s="102" t="s">
        <v>54</v>
      </c>
      <c r="D250" s="84" t="s">
        <v>548</v>
      </c>
      <c r="E250" s="200" t="e">
        <f>SUM(E241:E249)</f>
        <v>#DIV/0!</v>
      </c>
      <c r="F250" s="200" t="e">
        <f t="shared" ref="F250:H250" si="33">SUM(F241:F249)</f>
        <v>#DIV/0!</v>
      </c>
      <c r="G250" s="200" t="e">
        <f t="shared" si="33"/>
        <v>#DIV/0!</v>
      </c>
      <c r="H250" s="200" t="e">
        <f t="shared" si="33"/>
        <v>#DIV/0!</v>
      </c>
      <c r="J250" s="200" t="e">
        <f>SUM(E250:H250)</f>
        <v>#DIV/0!</v>
      </c>
    </row>
    <row r="252" spans="3:12" x14ac:dyDescent="0.3">
      <c r="C252" s="51" t="s">
        <v>549</v>
      </c>
    </row>
    <row r="253" spans="3:12" x14ac:dyDescent="0.3">
      <c r="C253" s="209" t="s">
        <v>14</v>
      </c>
      <c r="D253" s="207" t="s">
        <v>550</v>
      </c>
      <c r="E253" s="160" t="e">
        <f t="shared" ref="E253:E261" si="34">E158*(M120+U120+AC120+AK120)*E$69</f>
        <v>#DIV/0!</v>
      </c>
      <c r="F253" s="160" t="e">
        <f t="shared" ref="F253:F261" si="35">F158*(N120+V120+AD120+AL120)*F$69</f>
        <v>#DIV/0!</v>
      </c>
      <c r="G253" s="160" t="e">
        <f t="shared" ref="G253:G261" si="36">G158*(O120+W120+AE120+AM120)*G$69</f>
        <v>#DIV/0!</v>
      </c>
      <c r="H253" s="160" t="e">
        <f t="shared" ref="H253:H261" si="37">H158*(P120+X120+AF120+AN120)*H$69</f>
        <v>#DIV/0!</v>
      </c>
      <c r="L253" s="169"/>
    </row>
    <row r="254" spans="3:12" x14ac:dyDescent="0.3">
      <c r="C254" s="213" t="s">
        <v>15</v>
      </c>
      <c r="D254" s="207" t="s">
        <v>550</v>
      </c>
      <c r="E254" s="130">
        <f t="shared" si="34"/>
        <v>0</v>
      </c>
      <c r="F254" s="130">
        <f t="shared" si="35"/>
        <v>0</v>
      </c>
      <c r="G254" s="130">
        <f t="shared" si="36"/>
        <v>0</v>
      </c>
      <c r="H254" s="130">
        <f t="shared" si="37"/>
        <v>0</v>
      </c>
    </row>
    <row r="255" spans="3:12" x14ac:dyDescent="0.3">
      <c r="C255" s="210" t="s">
        <v>16</v>
      </c>
      <c r="D255" s="207" t="s">
        <v>550</v>
      </c>
      <c r="E255" s="130">
        <f t="shared" si="34"/>
        <v>0</v>
      </c>
      <c r="F255" s="130">
        <f t="shared" si="35"/>
        <v>0</v>
      </c>
      <c r="G255" s="130">
        <f t="shared" si="36"/>
        <v>0</v>
      </c>
      <c r="H255" s="130">
        <f t="shared" si="37"/>
        <v>0</v>
      </c>
    </row>
    <row r="256" spans="3:12" x14ac:dyDescent="0.3">
      <c r="C256" s="210" t="s">
        <v>17</v>
      </c>
      <c r="D256" s="207" t="s">
        <v>550</v>
      </c>
      <c r="E256" s="130">
        <f t="shared" si="34"/>
        <v>0</v>
      </c>
      <c r="F256" s="130">
        <f t="shared" si="35"/>
        <v>0</v>
      </c>
      <c r="G256" s="130">
        <f t="shared" si="36"/>
        <v>0</v>
      </c>
      <c r="H256" s="130">
        <f t="shared" si="37"/>
        <v>0</v>
      </c>
    </row>
    <row r="257" spans="3:10" x14ac:dyDescent="0.3">
      <c r="C257" s="210" t="s">
        <v>18</v>
      </c>
      <c r="D257" s="207" t="s">
        <v>550</v>
      </c>
      <c r="E257" s="130">
        <f t="shared" si="34"/>
        <v>0</v>
      </c>
      <c r="F257" s="130">
        <f t="shared" si="35"/>
        <v>0</v>
      </c>
      <c r="G257" s="130">
        <f t="shared" si="36"/>
        <v>0</v>
      </c>
      <c r="H257" s="130">
        <f t="shared" si="37"/>
        <v>0</v>
      </c>
    </row>
    <row r="258" spans="3:10" x14ac:dyDescent="0.3">
      <c r="C258" s="210" t="s">
        <v>19</v>
      </c>
      <c r="D258" s="207" t="s">
        <v>550</v>
      </c>
      <c r="E258" s="130">
        <f t="shared" si="34"/>
        <v>0</v>
      </c>
      <c r="F258" s="130">
        <f t="shared" si="35"/>
        <v>0</v>
      </c>
      <c r="G258" s="130">
        <f t="shared" si="36"/>
        <v>0</v>
      </c>
      <c r="H258" s="130">
        <f t="shared" si="37"/>
        <v>0</v>
      </c>
    </row>
    <row r="259" spans="3:10" x14ac:dyDescent="0.3">
      <c r="C259" s="213" t="s">
        <v>20</v>
      </c>
      <c r="D259" s="207" t="s">
        <v>550</v>
      </c>
      <c r="E259" s="130">
        <f t="shared" si="34"/>
        <v>0</v>
      </c>
      <c r="F259" s="130">
        <f t="shared" si="35"/>
        <v>0</v>
      </c>
      <c r="G259" s="130">
        <f t="shared" si="36"/>
        <v>0</v>
      </c>
      <c r="H259" s="130">
        <f t="shared" si="37"/>
        <v>0</v>
      </c>
    </row>
    <row r="260" spans="3:10" x14ac:dyDescent="0.3">
      <c r="C260" s="213" t="s">
        <v>21</v>
      </c>
      <c r="D260" s="207" t="s">
        <v>550</v>
      </c>
      <c r="E260" s="160" t="e">
        <f t="shared" si="34"/>
        <v>#DIV/0!</v>
      </c>
      <c r="F260" s="160" t="e">
        <f t="shared" si="35"/>
        <v>#DIV/0!</v>
      </c>
      <c r="G260" s="160" t="e">
        <f t="shared" si="36"/>
        <v>#DIV/0!</v>
      </c>
      <c r="H260" s="160" t="e">
        <f t="shared" si="37"/>
        <v>#DIV/0!</v>
      </c>
    </row>
    <row r="261" spans="3:10" x14ac:dyDescent="0.3">
      <c r="C261" s="213" t="s">
        <v>22</v>
      </c>
      <c r="D261" s="207" t="s">
        <v>550</v>
      </c>
      <c r="E261" s="160" t="e">
        <f t="shared" si="34"/>
        <v>#DIV/0!</v>
      </c>
      <c r="F261" s="160" t="e">
        <f t="shared" si="35"/>
        <v>#DIV/0!</v>
      </c>
      <c r="G261" s="160" t="e">
        <f t="shared" si="36"/>
        <v>#DIV/0!</v>
      </c>
      <c r="H261" s="160" t="e">
        <f t="shared" si="37"/>
        <v>#DIV/0!</v>
      </c>
    </row>
    <row r="262" spans="3:10" x14ac:dyDescent="0.3">
      <c r="C262" s="216" t="s">
        <v>54</v>
      </c>
      <c r="D262" s="207" t="s">
        <v>550</v>
      </c>
      <c r="E262" s="200" t="e">
        <f>SUM(E253:E261)</f>
        <v>#DIV/0!</v>
      </c>
      <c r="F262" s="200" t="e">
        <f>SUM(F253:F261)</f>
        <v>#DIV/0!</v>
      </c>
      <c r="G262" s="200" t="e">
        <f>SUM(G253:G261)</f>
        <v>#DIV/0!</v>
      </c>
      <c r="H262" s="200" t="e">
        <f>SUM(H253:H261)</f>
        <v>#DIV/0!</v>
      </c>
      <c r="J262" s="200" t="e">
        <f>SUM(E262:H262)</f>
        <v>#DIV/0!</v>
      </c>
    </row>
    <row r="264" spans="3:10" x14ac:dyDescent="0.3">
      <c r="C264" s="51" t="s">
        <v>537</v>
      </c>
    </row>
    <row r="265" spans="3:10" x14ac:dyDescent="0.3">
      <c r="C265" s="209" t="s">
        <v>14</v>
      </c>
      <c r="D265" s="207" t="s">
        <v>272</v>
      </c>
      <c r="E265" s="159" t="e">
        <f t="shared" ref="E265:H273" si="38">E158*E144</f>
        <v>#DIV/0!</v>
      </c>
      <c r="F265" s="159" t="e">
        <f t="shared" si="38"/>
        <v>#DIV/0!</v>
      </c>
      <c r="G265" s="159" t="e">
        <f t="shared" si="38"/>
        <v>#DIV/0!</v>
      </c>
      <c r="H265" s="159" t="e">
        <f t="shared" si="38"/>
        <v>#DIV/0!</v>
      </c>
    </row>
    <row r="266" spans="3:10" x14ac:dyDescent="0.3">
      <c r="C266" s="213" t="s">
        <v>15</v>
      </c>
      <c r="D266" s="207" t="s">
        <v>272</v>
      </c>
      <c r="E266" s="42">
        <f t="shared" si="38"/>
        <v>0</v>
      </c>
      <c r="F266" s="42">
        <f t="shared" si="38"/>
        <v>0</v>
      </c>
      <c r="G266" s="42">
        <f t="shared" si="38"/>
        <v>0</v>
      </c>
      <c r="H266" s="42">
        <f t="shared" si="38"/>
        <v>0</v>
      </c>
    </row>
    <row r="267" spans="3:10" x14ac:dyDescent="0.3">
      <c r="C267" s="210" t="s">
        <v>16</v>
      </c>
      <c r="D267" s="207" t="s">
        <v>272</v>
      </c>
      <c r="E267" s="42">
        <f t="shared" si="38"/>
        <v>0</v>
      </c>
      <c r="F267" s="42">
        <f t="shared" si="38"/>
        <v>0</v>
      </c>
      <c r="G267" s="42">
        <f t="shared" si="38"/>
        <v>0</v>
      </c>
      <c r="H267" s="42">
        <f t="shared" si="38"/>
        <v>0</v>
      </c>
    </row>
    <row r="268" spans="3:10" x14ac:dyDescent="0.3">
      <c r="C268" s="210" t="s">
        <v>17</v>
      </c>
      <c r="D268" s="207" t="s">
        <v>272</v>
      </c>
      <c r="E268" s="42">
        <f t="shared" si="38"/>
        <v>0</v>
      </c>
      <c r="F268" s="42">
        <f t="shared" si="38"/>
        <v>0</v>
      </c>
      <c r="G268" s="42">
        <f t="shared" si="38"/>
        <v>0</v>
      </c>
      <c r="H268" s="42">
        <f t="shared" si="38"/>
        <v>0</v>
      </c>
    </row>
    <row r="269" spans="3:10" x14ac:dyDescent="0.3">
      <c r="C269" s="210" t="s">
        <v>18</v>
      </c>
      <c r="D269" s="207" t="s">
        <v>272</v>
      </c>
      <c r="E269" s="42">
        <f t="shared" si="38"/>
        <v>0</v>
      </c>
      <c r="F269" s="42">
        <f t="shared" si="38"/>
        <v>0</v>
      </c>
      <c r="G269" s="42">
        <f t="shared" si="38"/>
        <v>0</v>
      </c>
      <c r="H269" s="42">
        <f t="shared" si="38"/>
        <v>0</v>
      </c>
    </row>
    <row r="270" spans="3:10" x14ac:dyDescent="0.3">
      <c r="C270" s="210" t="s">
        <v>19</v>
      </c>
      <c r="D270" s="207" t="s">
        <v>272</v>
      </c>
      <c r="E270" s="42">
        <f t="shared" si="38"/>
        <v>0</v>
      </c>
      <c r="F270" s="42">
        <f t="shared" si="38"/>
        <v>0</v>
      </c>
      <c r="G270" s="42">
        <f t="shared" si="38"/>
        <v>0</v>
      </c>
      <c r="H270" s="42">
        <f t="shared" si="38"/>
        <v>0</v>
      </c>
    </row>
    <row r="271" spans="3:10" x14ac:dyDescent="0.3">
      <c r="C271" s="213" t="s">
        <v>20</v>
      </c>
      <c r="D271" s="207" t="s">
        <v>272</v>
      </c>
      <c r="E271" s="42">
        <f t="shared" si="38"/>
        <v>0</v>
      </c>
      <c r="F271" s="42">
        <f t="shared" si="38"/>
        <v>0</v>
      </c>
      <c r="G271" s="42">
        <f t="shared" si="38"/>
        <v>0</v>
      </c>
      <c r="H271" s="42">
        <f t="shared" si="38"/>
        <v>0</v>
      </c>
    </row>
    <row r="272" spans="3:10" x14ac:dyDescent="0.3">
      <c r="C272" s="213" t="s">
        <v>21</v>
      </c>
      <c r="D272" s="207" t="s">
        <v>272</v>
      </c>
      <c r="E272" s="159" t="e">
        <f t="shared" si="38"/>
        <v>#DIV/0!</v>
      </c>
      <c r="F272" s="159" t="e">
        <f t="shared" si="38"/>
        <v>#DIV/0!</v>
      </c>
      <c r="G272" s="159" t="e">
        <f t="shared" si="38"/>
        <v>#DIV/0!</v>
      </c>
      <c r="H272" s="159" t="e">
        <f t="shared" si="38"/>
        <v>#DIV/0!</v>
      </c>
    </row>
    <row r="273" spans="3:12" x14ac:dyDescent="0.3">
      <c r="C273" s="213" t="s">
        <v>22</v>
      </c>
      <c r="D273" s="207" t="s">
        <v>272</v>
      </c>
      <c r="E273" s="159" t="e">
        <f t="shared" si="38"/>
        <v>#DIV/0!</v>
      </c>
      <c r="F273" s="159" t="e">
        <f t="shared" si="38"/>
        <v>#DIV/0!</v>
      </c>
      <c r="G273" s="159" t="e">
        <f t="shared" si="38"/>
        <v>#DIV/0!</v>
      </c>
      <c r="H273" s="159" t="e">
        <f t="shared" si="38"/>
        <v>#DIV/0!</v>
      </c>
    </row>
    <row r="274" spans="3:12" x14ac:dyDescent="0.3">
      <c r="C274" s="102" t="s">
        <v>54</v>
      </c>
      <c r="D274" s="133" t="s">
        <v>272</v>
      </c>
      <c r="E274" s="45" t="e">
        <f>SUM(E265:E273)</f>
        <v>#DIV/0!</v>
      </c>
      <c r="F274" s="45" t="e">
        <f t="shared" ref="F274:H274" si="39">SUM(F265:F273)</f>
        <v>#DIV/0!</v>
      </c>
      <c r="G274" s="45" t="e">
        <f t="shared" si="39"/>
        <v>#DIV/0!</v>
      </c>
      <c r="H274" s="45" t="e">
        <f t="shared" si="39"/>
        <v>#DIV/0!</v>
      </c>
      <c r="J274" s="45" t="e">
        <f>SUM(E274:H274)</f>
        <v>#DIV/0!</v>
      </c>
    </row>
    <row r="276" spans="3:12" x14ac:dyDescent="0.3">
      <c r="C276" s="51" t="s">
        <v>551</v>
      </c>
    </row>
    <row r="277" spans="3:12" x14ac:dyDescent="0.3">
      <c r="C277" s="209" t="s">
        <v>14</v>
      </c>
      <c r="D277" s="207" t="s">
        <v>69</v>
      </c>
      <c r="E277" s="159" t="e">
        <f>E158*E144*$J144</f>
        <v>#DIV/0!</v>
      </c>
      <c r="F277" s="159" t="e">
        <f t="shared" ref="F277:H277" si="40">F158*F144*$J144</f>
        <v>#DIV/0!</v>
      </c>
      <c r="G277" s="159" t="e">
        <f t="shared" si="40"/>
        <v>#DIV/0!</v>
      </c>
      <c r="H277" s="159" t="e">
        <f t="shared" si="40"/>
        <v>#DIV/0!</v>
      </c>
      <c r="L277" s="169"/>
    </row>
    <row r="278" spans="3:12" x14ac:dyDescent="0.3">
      <c r="C278" s="213" t="s">
        <v>15</v>
      </c>
      <c r="D278" s="207" t="s">
        <v>69</v>
      </c>
      <c r="E278" s="42">
        <f t="shared" ref="E278:H285" si="41">E159*E145*$J145</f>
        <v>0</v>
      </c>
      <c r="F278" s="42">
        <f t="shared" si="41"/>
        <v>0</v>
      </c>
      <c r="G278" s="42">
        <f t="shared" si="41"/>
        <v>0</v>
      </c>
      <c r="H278" s="42">
        <f t="shared" si="41"/>
        <v>0</v>
      </c>
    </row>
    <row r="279" spans="3:12" x14ac:dyDescent="0.3">
      <c r="C279" s="210" t="s">
        <v>16</v>
      </c>
      <c r="D279" s="207" t="s">
        <v>69</v>
      </c>
      <c r="E279" s="42">
        <f t="shared" si="41"/>
        <v>0</v>
      </c>
      <c r="F279" s="42">
        <f t="shared" si="41"/>
        <v>0</v>
      </c>
      <c r="G279" s="42">
        <f t="shared" si="41"/>
        <v>0</v>
      </c>
      <c r="H279" s="42">
        <f t="shared" si="41"/>
        <v>0</v>
      </c>
    </row>
    <row r="280" spans="3:12" x14ac:dyDescent="0.3">
      <c r="C280" s="210" t="s">
        <v>17</v>
      </c>
      <c r="D280" s="207" t="s">
        <v>69</v>
      </c>
      <c r="E280" s="42">
        <f t="shared" si="41"/>
        <v>0</v>
      </c>
      <c r="F280" s="42">
        <f t="shared" si="41"/>
        <v>0</v>
      </c>
      <c r="G280" s="42">
        <f t="shared" si="41"/>
        <v>0</v>
      </c>
      <c r="H280" s="42">
        <f t="shared" si="41"/>
        <v>0</v>
      </c>
    </row>
    <row r="281" spans="3:12" x14ac:dyDescent="0.3">
      <c r="C281" s="210" t="s">
        <v>18</v>
      </c>
      <c r="D281" s="207" t="s">
        <v>69</v>
      </c>
      <c r="E281" s="42">
        <f t="shared" si="41"/>
        <v>0</v>
      </c>
      <c r="F281" s="42">
        <f t="shared" si="41"/>
        <v>0</v>
      </c>
      <c r="G281" s="42">
        <f t="shared" si="41"/>
        <v>0</v>
      </c>
      <c r="H281" s="42">
        <f t="shared" si="41"/>
        <v>0</v>
      </c>
    </row>
    <row r="282" spans="3:12" x14ac:dyDescent="0.3">
      <c r="C282" s="210" t="s">
        <v>19</v>
      </c>
      <c r="D282" s="207" t="s">
        <v>69</v>
      </c>
      <c r="E282" s="42">
        <f t="shared" si="41"/>
        <v>0</v>
      </c>
      <c r="F282" s="42">
        <f t="shared" si="41"/>
        <v>0</v>
      </c>
      <c r="G282" s="42">
        <f t="shared" si="41"/>
        <v>0</v>
      </c>
      <c r="H282" s="42">
        <f t="shared" si="41"/>
        <v>0</v>
      </c>
    </row>
    <row r="283" spans="3:12" x14ac:dyDescent="0.3">
      <c r="C283" s="213" t="s">
        <v>20</v>
      </c>
      <c r="D283" s="207" t="s">
        <v>69</v>
      </c>
      <c r="E283" s="42">
        <f t="shared" si="41"/>
        <v>0</v>
      </c>
      <c r="F283" s="42">
        <f t="shared" si="41"/>
        <v>0</v>
      </c>
      <c r="G283" s="42">
        <f t="shared" si="41"/>
        <v>0</v>
      </c>
      <c r="H283" s="42">
        <f t="shared" si="41"/>
        <v>0</v>
      </c>
    </row>
    <row r="284" spans="3:12" x14ac:dyDescent="0.3">
      <c r="C284" s="213" t="s">
        <v>21</v>
      </c>
      <c r="D284" s="207" t="s">
        <v>69</v>
      </c>
      <c r="E284" s="159" t="e">
        <f t="shared" si="41"/>
        <v>#DIV/0!</v>
      </c>
      <c r="F284" s="159" t="e">
        <f t="shared" si="41"/>
        <v>#DIV/0!</v>
      </c>
      <c r="G284" s="159" t="e">
        <f t="shared" si="41"/>
        <v>#DIV/0!</v>
      </c>
      <c r="H284" s="159" t="e">
        <f t="shared" si="41"/>
        <v>#DIV/0!</v>
      </c>
    </row>
    <row r="285" spans="3:12" x14ac:dyDescent="0.3">
      <c r="C285" s="213" t="s">
        <v>22</v>
      </c>
      <c r="D285" s="207" t="s">
        <v>69</v>
      </c>
      <c r="E285" s="159" t="e">
        <f t="shared" si="41"/>
        <v>#DIV/0!</v>
      </c>
      <c r="F285" s="159" t="e">
        <f t="shared" si="41"/>
        <v>#DIV/0!</v>
      </c>
      <c r="G285" s="159" t="e">
        <f t="shared" si="41"/>
        <v>#DIV/0!</v>
      </c>
      <c r="H285" s="159" t="e">
        <f t="shared" si="41"/>
        <v>#DIV/0!</v>
      </c>
    </row>
    <row r="286" spans="3:12" x14ac:dyDescent="0.3">
      <c r="C286" s="216" t="s">
        <v>54</v>
      </c>
      <c r="D286" s="207" t="s">
        <v>69</v>
      </c>
      <c r="E286" s="45" t="e">
        <f>SUM(E277:E285)</f>
        <v>#DIV/0!</v>
      </c>
      <c r="F286" s="45" t="e">
        <f>SUM(F277:F285)</f>
        <v>#DIV/0!</v>
      </c>
      <c r="G286" s="45" t="e">
        <f>SUM(G277:G285)</f>
        <v>#DIV/0!</v>
      </c>
      <c r="H286" s="45" t="e">
        <f>SUM(H277:H285)</f>
        <v>#DIV/0!</v>
      </c>
      <c r="J286" s="45" t="e">
        <f>SUM(E286:H286)</f>
        <v>#DIV/0!</v>
      </c>
    </row>
  </sheetData>
  <sheetProtection algorithmName="SHA-512" hashValue="mML4M/ul30ViEI+h//xn3JoSqiuvfWKn/Jh41PZIDm5GrqxvVx0EA5T0d6Z+1ps73KYOPbgaiDcnHyl5tyaRYQ==" saltValue="0vOD0s6LNTmQCFEkJ1d9rQ==" spinCount="100000" sheet="1" selectLockedCells="1" selectUnlockedCells="1"/>
  <mergeCells count="8">
    <mergeCell ref="E156:F156"/>
    <mergeCell ref="G156:H156"/>
    <mergeCell ref="E6:F6"/>
    <mergeCell ref="G6:H6"/>
    <mergeCell ref="E51:F51"/>
    <mergeCell ref="G51:H51"/>
    <mergeCell ref="E95:F95"/>
    <mergeCell ref="G95:H95"/>
  </mergeCells>
  <phoneticPr fontId="21" type="noConversion"/>
  <dataValidations count="4">
    <dataValidation type="list" allowBlank="1" showInputMessage="1" showErrorMessage="1" sqref="E14 G14" xr:uid="{7070CF35-9FB3-4E23-A6C1-18BE26A5DC7B}">
      <formula1>$R$14:$T$14</formula1>
    </dataValidation>
    <dataValidation type="list" allowBlank="1" showInputMessage="1" showErrorMessage="1" sqref="E10:H10" xr:uid="{03575E07-F87E-4B7B-8F04-A1C9BC969397}">
      <formula1>$L$10:$T$10</formula1>
    </dataValidation>
    <dataValidation type="list" allowBlank="1" showInputMessage="1" showErrorMessage="1" sqref="E12 G12" xr:uid="{748C3BF0-3020-4866-AF8C-3B6D138FA4C4}">
      <formula1>$N$12:$T$12</formula1>
    </dataValidation>
    <dataValidation type="list" allowBlank="1" showInputMessage="1" showErrorMessage="1" sqref="E16:H16" xr:uid="{AF4C7A20-81F3-4A13-8F4E-8E6CC7F7322E}">
      <formula1>$Q$16:$T$16</formula1>
    </dataValidation>
  </dataValidation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F9B81-2BF8-4DE1-ACB9-44370EAF2BC7}">
  <sheetPr>
    <tabColor rgb="FF0070C0"/>
  </sheetPr>
  <dimension ref="B2:AN300"/>
  <sheetViews>
    <sheetView zoomScaleNormal="100" workbookViewId="0">
      <pane ySplit="7" topLeftCell="A8" activePane="bottomLeft" state="frozen"/>
      <selection activeCell="B1" sqref="B1"/>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35" width="8.85546875" style="17"/>
    <col min="36" max="36" width="13.28515625" style="17" customWidth="1"/>
    <col min="37" max="16384" width="8.85546875" style="17"/>
  </cols>
  <sheetData>
    <row r="2" spans="2:17" s="16" customFormat="1" ht="17.25" x14ac:dyDescent="0.3">
      <c r="C2" s="16" t="s">
        <v>145</v>
      </c>
      <c r="D2" s="16" t="s">
        <v>146</v>
      </c>
      <c r="M2" s="201"/>
    </row>
    <row r="3" spans="2:17" x14ac:dyDescent="0.3">
      <c r="M3" s="169"/>
    </row>
    <row r="4" spans="2:17" ht="20.25" x14ac:dyDescent="0.35">
      <c r="B4" s="77"/>
      <c r="C4" s="81" t="s">
        <v>552</v>
      </c>
      <c r="D4" s="76"/>
    </row>
    <row r="5" spans="2:17" s="18" customFormat="1" ht="17.25" thickBot="1" x14ac:dyDescent="0.35">
      <c r="B5" s="19" t="s">
        <v>153</v>
      </c>
      <c r="C5" s="19" t="s">
        <v>154</v>
      </c>
      <c r="D5" s="19" t="s">
        <v>32</v>
      </c>
      <c r="E5" s="19" t="s">
        <v>155</v>
      </c>
      <c r="F5" s="19"/>
      <c r="G5" s="19" t="s">
        <v>155</v>
      </c>
      <c r="H5" s="19"/>
      <c r="I5" s="19"/>
      <c r="J5" s="56" t="s">
        <v>156</v>
      </c>
      <c r="K5" s="56"/>
    </row>
    <row r="6" spans="2:17" s="30" customFormat="1" ht="18" thickTop="1" thickBot="1" x14ac:dyDescent="0.35">
      <c r="B6" s="28"/>
      <c r="C6" s="29" t="s">
        <v>157</v>
      </c>
      <c r="D6" s="29"/>
      <c r="E6" s="335" t="s">
        <v>5</v>
      </c>
      <c r="F6" s="335"/>
      <c r="G6" s="335" t="s">
        <v>6</v>
      </c>
      <c r="H6" s="335"/>
      <c r="I6" s="28"/>
      <c r="J6" s="28"/>
      <c r="K6" s="57"/>
    </row>
    <row r="7" spans="2:17" ht="18" thickTop="1" thickBot="1" x14ac:dyDescent="0.35">
      <c r="B7" s="19"/>
      <c r="C7" s="29" t="s">
        <v>158</v>
      </c>
      <c r="D7" s="29"/>
      <c r="E7" s="29" t="s">
        <v>7</v>
      </c>
      <c r="F7" s="29" t="s">
        <v>8</v>
      </c>
      <c r="G7" s="29" t="s">
        <v>7</v>
      </c>
      <c r="H7" s="29" t="s">
        <v>8</v>
      </c>
      <c r="I7" s="19"/>
      <c r="J7" s="19"/>
      <c r="K7" s="56"/>
    </row>
    <row r="8" spans="2:17" ht="17.25" thickTop="1" x14ac:dyDescent="0.3">
      <c r="C8" s="20" t="s">
        <v>183</v>
      </c>
      <c r="D8" s="46" t="s">
        <v>184</v>
      </c>
      <c r="E8" s="90">
        <f>'Model homes'!E32</f>
        <v>20</v>
      </c>
      <c r="F8" s="90">
        <f>'Model homes'!F32</f>
        <v>20</v>
      </c>
      <c r="G8" s="90">
        <f>'Model homes'!G32</f>
        <v>20</v>
      </c>
      <c r="H8" s="90">
        <f>'Model homes'!H32</f>
        <v>20</v>
      </c>
      <c r="I8" s="26"/>
      <c r="J8" s="26"/>
      <c r="K8" s="26"/>
    </row>
    <row r="9" spans="2:17" x14ac:dyDescent="0.3">
      <c r="C9" s="20" t="s">
        <v>186</v>
      </c>
      <c r="D9" s="46" t="s">
        <v>184</v>
      </c>
      <c r="E9" s="90">
        <f>'Model homes'!E33</f>
        <v>9</v>
      </c>
      <c r="F9" s="90">
        <f>'Model homes'!F33</f>
        <v>9</v>
      </c>
      <c r="G9" s="90">
        <f>'Model homes'!G33</f>
        <v>9</v>
      </c>
      <c r="H9" s="90">
        <f>'Model homes'!H33</f>
        <v>9</v>
      </c>
      <c r="J9" s="6"/>
    </row>
    <row r="10" spans="2:17" x14ac:dyDescent="0.3">
      <c r="C10" s="84" t="s">
        <v>553</v>
      </c>
      <c r="D10" s="84" t="s">
        <v>554</v>
      </c>
      <c r="E10" s="103">
        <v>1000</v>
      </c>
    </row>
    <row r="11" spans="2:17" x14ac:dyDescent="0.3">
      <c r="C11" s="84" t="s">
        <v>555</v>
      </c>
      <c r="D11" s="84" t="s">
        <v>556</v>
      </c>
      <c r="E11" s="83">
        <v>1.2</v>
      </c>
      <c r="F11" s="85"/>
      <c r="G11" s="85"/>
      <c r="H11" s="85"/>
      <c r="M11" s="102" t="s">
        <v>557</v>
      </c>
      <c r="N11" s="82"/>
    </row>
    <row r="12" spans="2:17" x14ac:dyDescent="0.3">
      <c r="C12" s="84" t="s">
        <v>169</v>
      </c>
      <c r="D12" s="84" t="s">
        <v>170</v>
      </c>
      <c r="E12" s="91">
        <f>'Model homes'!E19</f>
        <v>313.59999999999997</v>
      </c>
      <c r="F12" s="91">
        <f>'Model homes'!F19</f>
        <v>313.59999999999997</v>
      </c>
      <c r="G12" s="91">
        <f>'Model homes'!G19</f>
        <v>1800</v>
      </c>
      <c r="H12" s="91">
        <f>'Model homes'!H19</f>
        <v>1800</v>
      </c>
      <c r="M12" s="20" t="s">
        <v>558</v>
      </c>
      <c r="O12" s="83" t="s">
        <v>559</v>
      </c>
      <c r="P12" s="84" t="s">
        <v>560</v>
      </c>
      <c r="Q12" s="20" t="s">
        <v>561</v>
      </c>
    </row>
    <row r="13" spans="2:17" x14ac:dyDescent="0.3">
      <c r="C13" s="84" t="s">
        <v>562</v>
      </c>
      <c r="D13" s="84" t="s">
        <v>560</v>
      </c>
      <c r="E13" s="38">
        <v>0.3</v>
      </c>
      <c r="F13" s="38">
        <v>0.2</v>
      </c>
      <c r="G13" s="38">
        <v>0.5</v>
      </c>
      <c r="H13" s="38">
        <v>0.3</v>
      </c>
      <c r="J13" s="20" t="s">
        <v>563</v>
      </c>
      <c r="M13" s="20" t="s">
        <v>564</v>
      </c>
      <c r="O13" s="83" t="s">
        <v>565</v>
      </c>
      <c r="P13" s="84" t="s">
        <v>560</v>
      </c>
      <c r="Q13" s="20"/>
    </row>
    <row r="14" spans="2:17" x14ac:dyDescent="0.3">
      <c r="C14" s="84" t="s">
        <v>566</v>
      </c>
      <c r="D14" s="84" t="s">
        <v>567</v>
      </c>
      <c r="E14" s="91">
        <f>E12*E13/'Model homes'!E21</f>
        <v>94.079999999999984</v>
      </c>
      <c r="F14" s="91">
        <f>F12*F13/'Model homes'!F21</f>
        <v>62.72</v>
      </c>
      <c r="G14" s="91">
        <f>G12*G13/'Model homes'!G21</f>
        <v>90</v>
      </c>
      <c r="H14" s="91">
        <f>H12*H13/'Model homes'!H21</f>
        <v>54</v>
      </c>
      <c r="J14" s="36"/>
      <c r="M14" s="20" t="s">
        <v>568</v>
      </c>
      <c r="O14" s="83" t="s">
        <v>569</v>
      </c>
      <c r="P14" s="84" t="s">
        <v>560</v>
      </c>
      <c r="Q14" s="36"/>
    </row>
    <row r="15" spans="2:17" x14ac:dyDescent="0.3">
      <c r="C15" s="84" t="s">
        <v>570</v>
      </c>
      <c r="D15" s="84" t="s">
        <v>571</v>
      </c>
      <c r="E15" s="85">
        <f>$E11*E14/3600</f>
        <v>3.1359999999999992E-2</v>
      </c>
      <c r="F15" s="85">
        <f t="shared" ref="F15:H15" si="0">$E11*F14/3600</f>
        <v>2.0906666666666667E-2</v>
      </c>
      <c r="G15" s="85">
        <f t="shared" si="0"/>
        <v>0.03</v>
      </c>
      <c r="H15" s="85">
        <f t="shared" si="0"/>
        <v>1.7999999999999999E-2</v>
      </c>
    </row>
    <row r="16" spans="2:17" x14ac:dyDescent="0.3">
      <c r="C16" s="84" t="s">
        <v>572</v>
      </c>
      <c r="D16" s="84" t="s">
        <v>573</v>
      </c>
      <c r="E16" s="91">
        <f>$E10*E15*(E8-E9)</f>
        <v>344.95999999999992</v>
      </c>
      <c r="F16" s="91">
        <f t="shared" ref="F16:H16" si="1">$E10*F15*(F8-F9)</f>
        <v>229.97333333333333</v>
      </c>
      <c r="G16" s="91">
        <f t="shared" si="1"/>
        <v>330</v>
      </c>
      <c r="H16" s="91">
        <f t="shared" si="1"/>
        <v>198</v>
      </c>
    </row>
    <row r="17" spans="3:15" x14ac:dyDescent="0.3">
      <c r="C17" s="84" t="s">
        <v>574</v>
      </c>
      <c r="D17" s="84" t="s">
        <v>575</v>
      </c>
      <c r="E17" s="100">
        <f>SPH_TL_UC!E22</f>
        <v>1700</v>
      </c>
      <c r="F17" s="100">
        <f>SPH_TL_UC!F22</f>
        <v>1700</v>
      </c>
      <c r="G17" s="100">
        <f>SPH_TL_UC!G22</f>
        <v>1700</v>
      </c>
      <c r="H17" s="100">
        <f>SPH_TL_UC!H22</f>
        <v>1700</v>
      </c>
      <c r="I17" s="84"/>
      <c r="J17" s="84"/>
      <c r="K17" s="84"/>
    </row>
    <row r="18" spans="3:15" x14ac:dyDescent="0.3">
      <c r="C18" s="84" t="s">
        <v>572</v>
      </c>
      <c r="D18" s="84" t="s">
        <v>191</v>
      </c>
      <c r="E18" s="100">
        <f>E16/1000*E17</f>
        <v>586.4319999999999</v>
      </c>
      <c r="F18" s="100">
        <f t="shared" ref="F18:H18" si="2">F16/1000*F17</f>
        <v>390.9546666666667</v>
      </c>
      <c r="G18" s="100">
        <f t="shared" si="2"/>
        <v>561</v>
      </c>
      <c r="H18" s="100">
        <f t="shared" si="2"/>
        <v>336.6</v>
      </c>
      <c r="I18" s="100"/>
      <c r="J18" s="84"/>
      <c r="K18" s="84"/>
    </row>
    <row r="19" spans="3:15" ht="29.25" x14ac:dyDescent="0.3">
      <c r="C19" s="84" t="s">
        <v>576</v>
      </c>
      <c r="D19" s="84" t="s">
        <v>188</v>
      </c>
      <c r="E19" s="37">
        <v>0.5</v>
      </c>
      <c r="F19" s="37">
        <v>0.3</v>
      </c>
      <c r="G19" s="37">
        <f>E19</f>
        <v>0.5</v>
      </c>
      <c r="H19" s="37">
        <f>F19</f>
        <v>0.3</v>
      </c>
      <c r="I19" s="100"/>
      <c r="J19" s="84"/>
      <c r="K19" s="84"/>
    </row>
    <row r="20" spans="3:15" ht="29.25" x14ac:dyDescent="0.3">
      <c r="C20" s="84" t="s">
        <v>576</v>
      </c>
      <c r="D20" s="84" t="s">
        <v>191</v>
      </c>
      <c r="E20" s="100">
        <f>E18*E19</f>
        <v>293.21599999999995</v>
      </c>
      <c r="F20" s="100">
        <f t="shared" ref="F20:H20" si="3">F18*F19</f>
        <v>117.2864</v>
      </c>
      <c r="G20" s="100">
        <f t="shared" si="3"/>
        <v>280.5</v>
      </c>
      <c r="H20" s="100">
        <f t="shared" si="3"/>
        <v>100.98</v>
      </c>
      <c r="I20" s="101"/>
      <c r="J20" s="96"/>
      <c r="K20" s="96"/>
    </row>
    <row r="21" spans="3:15" ht="17.25" thickBot="1" x14ac:dyDescent="0.35">
      <c r="C21" s="84"/>
      <c r="D21" s="84"/>
    </row>
    <row r="22" spans="3:15" ht="17.25" thickTop="1" x14ac:dyDescent="0.3">
      <c r="C22" s="27" t="s">
        <v>477</v>
      </c>
      <c r="D22" s="22"/>
      <c r="E22" s="23"/>
      <c r="F22" s="24"/>
    </row>
    <row r="23" spans="3:15" x14ac:dyDescent="0.3">
      <c r="C23" s="20" t="s">
        <v>14</v>
      </c>
      <c r="D23" s="15" t="s">
        <v>191</v>
      </c>
      <c r="E23" s="42">
        <f>E$20/(1-'Model homes'!E$34)/'Model homes'!E38</f>
        <v>335.87170675830464</v>
      </c>
      <c r="F23" s="42">
        <f>F$20/(1-'Model homes'!F$34)/'Model homes'!F38</f>
        <v>128</v>
      </c>
      <c r="G23" s="42">
        <f>G$20/(1-'Model homes'!G$34)/'Model homes'!G38</f>
        <v>332.38535371489513</v>
      </c>
      <c r="H23" s="42">
        <f>H$20/(1-'Model homes'!H$34)/'Model homes'!H38</f>
        <v>107.33418367346941</v>
      </c>
    </row>
    <row r="24" spans="3:15" x14ac:dyDescent="0.3">
      <c r="C24" s="14" t="s">
        <v>15</v>
      </c>
      <c r="D24" s="15" t="s">
        <v>191</v>
      </c>
      <c r="E24" s="42">
        <f>E$20/(1-'Model homes'!E$34)/'Model homes'!E39</f>
        <v>501.22393162393149</v>
      </c>
      <c r="F24" s="42">
        <f>F$20/(1-'Model homes'!F$34)/'Model homes'!F39</f>
        <v>179.20000000000002</v>
      </c>
      <c r="G24" s="42">
        <f>G$20/(1-'Model homes'!G$34)/'Model homes'!G39</f>
        <v>481.21461657231077</v>
      </c>
      <c r="H24" s="42">
        <f>H$20/(1-'Model homes'!H$34)/'Model homes'!H39</f>
        <v>150.26785714285717</v>
      </c>
    </row>
    <row r="25" spans="3:15" x14ac:dyDescent="0.3">
      <c r="C25" s="15" t="s">
        <v>16</v>
      </c>
      <c r="D25" s="15" t="s">
        <v>191</v>
      </c>
      <c r="E25" s="42">
        <f>E$20/(1-'Model homes'!E$34)/'Model homes'!E40</f>
        <v>407.24444444444435</v>
      </c>
      <c r="F25" s="42">
        <f>F$20/(1-'Model homes'!F$34)/'Model homes'!F40</f>
        <v>149.33333333333334</v>
      </c>
      <c r="G25" s="42">
        <f>G$20/(1-'Model homes'!G$34)/'Model homes'!G40</f>
        <v>393.18755256518085</v>
      </c>
      <c r="H25" s="42">
        <f>H$20/(1-'Model homes'!H$34)/'Model homes'!H40</f>
        <v>125.22321428571431</v>
      </c>
    </row>
    <row r="26" spans="3:15" x14ac:dyDescent="0.3">
      <c r="C26" s="15" t="s">
        <v>17</v>
      </c>
      <c r="D26" s="15" t="s">
        <v>191</v>
      </c>
      <c r="E26" s="42">
        <f>E$20/(1-'Model homes'!E$34)/'Model homes'!E41</f>
        <v>501.22393162393149</v>
      </c>
      <c r="F26" s="42">
        <f>F$20/(1-'Model homes'!F$34)/'Model homes'!F41</f>
        <v>179.20000000000002</v>
      </c>
      <c r="G26" s="42">
        <f>G$20/(1-'Model homes'!G$34)/'Model homes'!G41</f>
        <v>496.02122015915114</v>
      </c>
      <c r="H26" s="42">
        <f>H$20/(1-'Model homes'!H$34)/'Model homes'!H41</f>
        <v>150.26785714285717</v>
      </c>
      <c r="J26" s="26"/>
    </row>
    <row r="27" spans="3:15" x14ac:dyDescent="0.3">
      <c r="C27" s="15" t="s">
        <v>18</v>
      </c>
      <c r="D27" s="15" t="s">
        <v>191</v>
      </c>
      <c r="E27" s="42">
        <f>E$20/(1-'Model homes'!E$34)/'Model homes'!E42</f>
        <v>407.24444444444435</v>
      </c>
      <c r="F27" s="42">
        <f>F$20/(1-'Model homes'!F$34)/'Model homes'!F42</f>
        <v>147.57647058823528</v>
      </c>
      <c r="G27" s="42">
        <f>G$20/(1-'Model homes'!G$34)/'Model homes'!G42</f>
        <v>403.01724137931029</v>
      </c>
      <c r="H27" s="42">
        <f>H$20/(1-'Model homes'!H$34)/'Model homes'!H42</f>
        <v>123.75000000000001</v>
      </c>
      <c r="J27" s="26"/>
    </row>
    <row r="28" spans="3:15" x14ac:dyDescent="0.3">
      <c r="C28" s="15" t="s">
        <v>19</v>
      </c>
      <c r="D28" s="15" t="s">
        <v>191</v>
      </c>
      <c r="E28" s="42">
        <f>E$20/(1-'Model homes'!E$34)/'Model homes'!E43</f>
        <v>407.24444444444435</v>
      </c>
      <c r="F28" s="42">
        <f>F$20/(1-'Model homes'!F$34)/'Model homes'!F43</f>
        <v>145.86046511627907</v>
      </c>
      <c r="G28" s="42">
        <f>G$20/(1-'Model homes'!G$34)/'Model homes'!G43</f>
        <v>403.01724137931029</v>
      </c>
      <c r="H28" s="42">
        <f>H$20/(1-'Model homes'!H$34)/'Model homes'!H43</f>
        <v>122.31104651162792</v>
      </c>
      <c r="J28" s="26"/>
    </row>
    <row r="29" spans="3:15" ht="15.95" customHeight="1" x14ac:dyDescent="0.3">
      <c r="C29" s="14" t="s">
        <v>20</v>
      </c>
      <c r="D29" s="15" t="s">
        <v>191</v>
      </c>
      <c r="E29" s="42">
        <f>E$20/(1-'Model homes'!E$34)/'Model homes'!E44</f>
        <v>383.28888888888883</v>
      </c>
      <c r="F29" s="42">
        <f>F$20/(1-'Model homes'!F$34)/'Model homes'!F44</f>
        <v>144.18390804597701</v>
      </c>
      <c r="G29" s="42">
        <f>G$20/(1-'Model homes'!G$34)/'Model homes'!G44</f>
        <v>370.59056678557272</v>
      </c>
      <c r="H29" s="42">
        <f>H$20/(1-'Model homes'!H$34)/'Model homes'!H44</f>
        <v>120.90517241379312</v>
      </c>
      <c r="J29" s="26"/>
    </row>
    <row r="30" spans="3:15" ht="15.95" customHeight="1" x14ac:dyDescent="0.3">
      <c r="C30" s="14" t="s">
        <v>21</v>
      </c>
      <c r="D30" s="15" t="s">
        <v>191</v>
      </c>
      <c r="E30" s="42">
        <f>E$20/(1-'Model homes'!E$34)/'Model homes'!E45</f>
        <v>325.7955555555555</v>
      </c>
      <c r="F30" s="42">
        <f>F$20/(1-'Model homes'!F$34)/'Model homes'!F45</f>
        <v>125.44</v>
      </c>
      <c r="G30" s="42">
        <f>G$20/(1-'Model homes'!G$34)/'Model homes'!G45</f>
        <v>322.41379310344826</v>
      </c>
      <c r="H30" s="42">
        <f>H$20/(1-'Model homes'!H$34)/'Model homes'!H45</f>
        <v>105.18750000000001</v>
      </c>
      <c r="J30" s="17" t="s">
        <v>478</v>
      </c>
      <c r="K30" s="17" t="s">
        <v>479</v>
      </c>
    </row>
    <row r="31" spans="3:15" ht="17.25" thickBot="1" x14ac:dyDescent="0.35">
      <c r="C31" s="14" t="s">
        <v>22</v>
      </c>
      <c r="D31" s="33" t="s">
        <v>191</v>
      </c>
      <c r="E31" s="42">
        <f>E$20/(1-'Model homes'!E$34)/'Model homes'!E46</f>
        <v>112.42684648057248</v>
      </c>
      <c r="F31" s="42">
        <f>F$20/(1-'Model homes'!F$34)/'Model homes'!F46</f>
        <v>38.460830906024839</v>
      </c>
      <c r="G31" s="42">
        <f>G$20/(1-'Model homes'!G$34)/'Model homes'!G46</f>
        <v>98.854451357794957</v>
      </c>
      <c r="H31" s="42">
        <f>H$20/(1-'Model homes'!H$34)/'Model homes'!H46</f>
        <v>29.96586403251613</v>
      </c>
      <c r="J31" s="202">
        <f>AVERAGE(E23:H31)</f>
        <v>248.74260929094928</v>
      </c>
      <c r="K31" s="202" t="e">
        <f>AVERAGEIFS($E$23:$H$31,$J$100:$M$108,"yes")</f>
        <v>#DIV/0!</v>
      </c>
    </row>
    <row r="32" spans="3:15" ht="18" thickTop="1" thickBot="1" x14ac:dyDescent="0.35">
      <c r="C32" s="84"/>
      <c r="D32" s="84"/>
      <c r="M32" s="20"/>
      <c r="N32" s="20"/>
      <c r="O32" s="20"/>
    </row>
    <row r="33" spans="2:15" ht="17.25" thickTop="1" x14ac:dyDescent="0.3">
      <c r="C33" s="95" t="s">
        <v>577</v>
      </c>
      <c r="D33" s="22"/>
      <c r="E33" s="23"/>
      <c r="F33" s="24"/>
    </row>
    <row r="34" spans="2:15" x14ac:dyDescent="0.3">
      <c r="C34" s="20" t="s">
        <v>14</v>
      </c>
      <c r="D34" s="15" t="s">
        <v>301</v>
      </c>
      <c r="E34" s="104">
        <f>E23/('Model homes'!E48*'Model homes'!$E$21)</f>
        <v>1.4444137931034481E-2</v>
      </c>
      <c r="F34" s="104">
        <f>F23/('Model homes'!F48*'Model homes'!$E$21)</f>
        <v>1.5232000000000002E-2</v>
      </c>
      <c r="G34" s="104">
        <f>G23/('Model homes'!G48*'Model homes'!G$21)</f>
        <v>3.9368421052631579E-3</v>
      </c>
      <c r="H34" s="104">
        <f>H23/('Model homes'!H48*'Model homes'!H$21)</f>
        <v>2.9920000000000007E-3</v>
      </c>
      <c r="J34" s="26"/>
    </row>
    <row r="35" spans="2:15" x14ac:dyDescent="0.3">
      <c r="C35" s="14" t="s">
        <v>15</v>
      </c>
      <c r="D35" s="15" t="s">
        <v>301</v>
      </c>
      <c r="E35" s="104">
        <f>E24/('Model homes'!E49*'Model homes'!$E$21)</f>
        <v>1.4444137931034481E-2</v>
      </c>
      <c r="F35" s="104">
        <f>F24/('Model homes'!F49*'Model homes'!$E$21)</f>
        <v>1.5232000000000002E-2</v>
      </c>
      <c r="G35" s="104">
        <f>G24/('Model homes'!G49*'Model homes'!G$21)</f>
        <v>3.936842105263157E-3</v>
      </c>
      <c r="H35" s="104">
        <f>H24/('Model homes'!H49*'Model homes'!H$21)</f>
        <v>2.9920000000000007E-3</v>
      </c>
      <c r="J35" s="26"/>
    </row>
    <row r="36" spans="2:15" x14ac:dyDescent="0.3">
      <c r="C36" s="15" t="s">
        <v>16</v>
      </c>
      <c r="D36" s="15" t="s">
        <v>301</v>
      </c>
      <c r="E36" s="104">
        <f>E25/('Model homes'!E50*'Model homes'!$E$21)</f>
        <v>1.4444137931034481E-2</v>
      </c>
      <c r="F36" s="104">
        <f>F25/('Model homes'!F50*'Model homes'!$E$21)</f>
        <v>1.5232000000000004E-2</v>
      </c>
      <c r="G36" s="104">
        <f>G25/('Model homes'!G50*'Model homes'!G$21)</f>
        <v>3.9368421052631579E-3</v>
      </c>
      <c r="H36" s="104">
        <f>H25/('Model homes'!H50*'Model homes'!H$21)</f>
        <v>2.9920000000000007E-3</v>
      </c>
      <c r="J36" s="26"/>
    </row>
    <row r="37" spans="2:15" x14ac:dyDescent="0.3">
      <c r="C37" s="15" t="s">
        <v>17</v>
      </c>
      <c r="D37" s="15" t="s">
        <v>301</v>
      </c>
      <c r="E37" s="104">
        <f>E26/('Model homes'!E51*'Model homes'!$E$21)</f>
        <v>1.4444137931034481E-2</v>
      </c>
      <c r="F37" s="104">
        <f>F26/('Model homes'!F51*'Model homes'!$E$21)</f>
        <v>1.5232000000000002E-2</v>
      </c>
      <c r="G37" s="104">
        <f>G26/('Model homes'!G51*'Model homes'!G$21)</f>
        <v>3.936842105263157E-3</v>
      </c>
      <c r="H37" s="104">
        <f>H26/('Model homes'!H51*'Model homes'!H$21)</f>
        <v>2.9920000000000007E-3</v>
      </c>
      <c r="J37" s="26"/>
    </row>
    <row r="38" spans="2:15" x14ac:dyDescent="0.3">
      <c r="C38" s="15" t="s">
        <v>18</v>
      </c>
      <c r="D38" s="15" t="s">
        <v>301</v>
      </c>
      <c r="E38" s="104">
        <f>E27/('Model homes'!E52*'Model homes'!$E$21)</f>
        <v>1.4444137931034481E-2</v>
      </c>
      <c r="F38" s="104">
        <f>F27/('Model homes'!F52*'Model homes'!$E$21)</f>
        <v>1.5232000000000001E-2</v>
      </c>
      <c r="G38" s="104">
        <f>G27/('Model homes'!G52*'Model homes'!G$21)</f>
        <v>3.9368421052631579E-3</v>
      </c>
      <c r="H38" s="104">
        <f>H27/('Model homes'!H52*'Model homes'!H$21)</f>
        <v>2.9919999999999999E-3</v>
      </c>
      <c r="J38" s="26"/>
    </row>
    <row r="39" spans="2:15" x14ac:dyDescent="0.3">
      <c r="C39" s="15" t="s">
        <v>19</v>
      </c>
      <c r="D39" s="15" t="s">
        <v>301</v>
      </c>
      <c r="E39" s="104">
        <f>E28/('Model homes'!E53*'Model homes'!$E$21)</f>
        <v>1.4444137931034481E-2</v>
      </c>
      <c r="F39" s="104">
        <f>F28/('Model homes'!F53*'Model homes'!$E$21)</f>
        <v>1.5232000000000002E-2</v>
      </c>
      <c r="G39" s="104">
        <f>G28/('Model homes'!G53*'Model homes'!G$21)</f>
        <v>3.9368421052631579E-3</v>
      </c>
      <c r="H39" s="104">
        <f>H28/('Model homes'!H53*'Model homes'!H$21)</f>
        <v>2.9920000000000007E-3</v>
      </c>
      <c r="J39" s="26"/>
    </row>
    <row r="40" spans="2:15" ht="15.95" customHeight="1" x14ac:dyDescent="0.3">
      <c r="C40" s="14" t="s">
        <v>20</v>
      </c>
      <c r="D40" s="15" t="s">
        <v>301</v>
      </c>
      <c r="E40" s="104">
        <f>E29/('Model homes'!E54*'Model homes'!$E$21)</f>
        <v>1.4444137931034481E-2</v>
      </c>
      <c r="F40" s="104">
        <f>F29/('Model homes'!F54*'Model homes'!$E$21)</f>
        <v>1.5232000000000001E-2</v>
      </c>
      <c r="G40" s="104">
        <f>G29/('Model homes'!G54*'Model homes'!G$21)</f>
        <v>3.936842105263157E-3</v>
      </c>
      <c r="H40" s="104">
        <f>H29/('Model homes'!H54*'Model homes'!H$21)</f>
        <v>2.9920000000000007E-3</v>
      </c>
      <c r="J40" s="26"/>
    </row>
    <row r="41" spans="2:15" ht="15.95" customHeight="1" x14ac:dyDescent="0.3">
      <c r="C41" s="14" t="s">
        <v>21</v>
      </c>
      <c r="D41" s="15" t="s">
        <v>301</v>
      </c>
      <c r="E41" s="104">
        <f>E30/('Model homes'!E55*'Model homes'!$E$21)</f>
        <v>1.4444137931034481E-2</v>
      </c>
      <c r="F41" s="104">
        <f>F30/('Model homes'!F55*'Model homes'!$E$21)</f>
        <v>1.5232000000000002E-2</v>
      </c>
      <c r="G41" s="104">
        <f>G30/('Model homes'!G55*'Model homes'!G$21)</f>
        <v>3.936842105263157E-3</v>
      </c>
      <c r="H41" s="104">
        <f>H30/('Model homes'!H55*'Model homes'!H$21)</f>
        <v>2.9920000000000003E-3</v>
      </c>
      <c r="J41" s="26"/>
    </row>
    <row r="42" spans="2:15" x14ac:dyDescent="0.3">
      <c r="C42" s="14" t="s">
        <v>22</v>
      </c>
      <c r="D42" s="15" t="s">
        <v>301</v>
      </c>
      <c r="E42" s="104">
        <f>E31/('Model homes'!E56*'Model homes'!$E$21)</f>
        <v>1.4444137931034481E-2</v>
      </c>
      <c r="F42" s="104">
        <f>F31/('Model homes'!F56*'Model homes'!$E$21)</f>
        <v>1.5232000000000002E-2</v>
      </c>
      <c r="G42" s="104">
        <f>G31/('Model homes'!G56*'Model homes'!G$21)</f>
        <v>3.9368421052631579E-3</v>
      </c>
      <c r="H42" s="104">
        <f>H31/('Model homes'!H56*'Model homes'!H$21)</f>
        <v>2.9920000000000007E-3</v>
      </c>
      <c r="J42" s="26" t="s">
        <v>39</v>
      </c>
    </row>
    <row r="43" spans="2:15" x14ac:dyDescent="0.3">
      <c r="C43" s="84"/>
      <c r="D43" s="84"/>
    </row>
    <row r="44" spans="2:15" ht="20.25" x14ac:dyDescent="0.35">
      <c r="C44" s="81" t="s">
        <v>578</v>
      </c>
    </row>
    <row r="45" spans="2:15" s="18" customFormat="1" ht="17.25" thickBot="1" x14ac:dyDescent="0.35">
      <c r="B45" s="19" t="s">
        <v>153</v>
      </c>
      <c r="C45" s="19" t="s">
        <v>154</v>
      </c>
      <c r="D45" s="19" t="s">
        <v>32</v>
      </c>
      <c r="E45" s="19" t="s">
        <v>155</v>
      </c>
      <c r="F45" s="19"/>
      <c r="G45" s="19" t="s">
        <v>155</v>
      </c>
      <c r="H45" s="19"/>
      <c r="I45" s="19"/>
      <c r="J45" s="56" t="s">
        <v>156</v>
      </c>
      <c r="K45" s="56"/>
    </row>
    <row r="46" spans="2:15" s="30" customFormat="1" ht="18" thickTop="1" thickBot="1" x14ac:dyDescent="0.35">
      <c r="B46" s="28"/>
      <c r="C46" s="29" t="s">
        <v>157</v>
      </c>
      <c r="D46" s="29"/>
      <c r="E46" s="335" t="s">
        <v>5</v>
      </c>
      <c r="F46" s="335"/>
      <c r="G46" s="335" t="s">
        <v>6</v>
      </c>
      <c r="H46" s="335"/>
      <c r="I46" s="28"/>
      <c r="J46" s="28"/>
      <c r="K46" s="57"/>
      <c r="M46" s="20"/>
    </row>
    <row r="47" spans="2:15" ht="18" thickTop="1" thickBot="1" x14ac:dyDescent="0.35">
      <c r="B47" s="19"/>
      <c r="C47" s="29" t="s">
        <v>158</v>
      </c>
      <c r="D47" s="29"/>
      <c r="E47" s="29" t="s">
        <v>7</v>
      </c>
      <c r="F47" s="29" t="s">
        <v>8</v>
      </c>
      <c r="G47" s="29" t="s">
        <v>7</v>
      </c>
      <c r="H47" s="29" t="s">
        <v>8</v>
      </c>
      <c r="I47" s="19"/>
      <c r="J47" s="19" t="s">
        <v>482</v>
      </c>
      <c r="K47" s="56" t="s">
        <v>483</v>
      </c>
      <c r="M47" s="82"/>
      <c r="N47" s="82"/>
    </row>
    <row r="48" spans="2:15" customFormat="1" ht="17.25" thickTop="1" x14ac:dyDescent="0.3">
      <c r="C48" s="15" t="s">
        <v>579</v>
      </c>
      <c r="D48" s="15" t="s">
        <v>166</v>
      </c>
      <c r="E48" s="25">
        <v>4</v>
      </c>
      <c r="F48" s="7"/>
      <c r="G48" s="25">
        <v>2</v>
      </c>
      <c r="H48" s="7"/>
      <c r="J48" s="83" t="s">
        <v>580</v>
      </c>
      <c r="K48" s="83" t="s">
        <v>581</v>
      </c>
      <c r="M48" s="26" t="s">
        <v>582</v>
      </c>
      <c r="N48" s="17"/>
      <c r="O48" s="17"/>
    </row>
    <row r="49" spans="3:15" customFormat="1" x14ac:dyDescent="0.3">
      <c r="C49" s="15" t="s">
        <v>583</v>
      </c>
      <c r="D49" s="15" t="s">
        <v>166</v>
      </c>
      <c r="E49" s="25">
        <v>10</v>
      </c>
      <c r="F49" s="7"/>
      <c r="G49" s="25">
        <v>5</v>
      </c>
      <c r="H49" s="7"/>
      <c r="J49" s="83" t="s">
        <v>584</v>
      </c>
      <c r="K49" s="83" t="s">
        <v>580</v>
      </c>
      <c r="O49" s="17"/>
    </row>
    <row r="50" spans="3:15" customFormat="1" x14ac:dyDescent="0.3">
      <c r="C50" s="15" t="s">
        <v>585</v>
      </c>
      <c r="D50" s="15" t="s">
        <v>166</v>
      </c>
      <c r="E50" s="42">
        <f>SUM(E48:E49)</f>
        <v>14</v>
      </c>
      <c r="F50" s="7"/>
      <c r="G50" s="42">
        <f>SUM(G48:G49)</f>
        <v>7</v>
      </c>
      <c r="H50" s="7"/>
      <c r="O50" s="17"/>
    </row>
    <row r="51" spans="3:15" customFormat="1" x14ac:dyDescent="0.3">
      <c r="C51" s="15" t="s">
        <v>484</v>
      </c>
      <c r="D51" s="15" t="s">
        <v>485</v>
      </c>
      <c r="E51" s="25">
        <v>3</v>
      </c>
      <c r="F51" s="7"/>
      <c r="G51" s="25">
        <v>3</v>
      </c>
      <c r="H51" s="7"/>
      <c r="J51" s="83" t="s">
        <v>586</v>
      </c>
      <c r="K51" s="15" t="s">
        <v>485</v>
      </c>
      <c r="O51" s="17"/>
    </row>
    <row r="52" spans="3:15" customFormat="1" x14ac:dyDescent="0.3">
      <c r="C52" s="15" t="s">
        <v>487</v>
      </c>
      <c r="D52" s="15" t="s">
        <v>485</v>
      </c>
      <c r="E52" s="25">
        <v>3</v>
      </c>
      <c r="F52" s="7"/>
      <c r="G52" s="25">
        <v>2</v>
      </c>
      <c r="H52" s="7"/>
      <c r="J52" s="83" t="s">
        <v>586</v>
      </c>
      <c r="K52" s="15" t="s">
        <v>485</v>
      </c>
      <c r="O52" s="17"/>
    </row>
    <row r="53" spans="3:15" customFormat="1" x14ac:dyDescent="0.3">
      <c r="C53" s="15" t="s">
        <v>488</v>
      </c>
      <c r="D53" s="15" t="s">
        <v>485</v>
      </c>
      <c r="E53" s="42">
        <f>SUM(E51:E52)</f>
        <v>6</v>
      </c>
      <c r="F53" s="7"/>
      <c r="G53" s="42">
        <f>SUM(G51:G52)</f>
        <v>5</v>
      </c>
      <c r="H53" s="7"/>
      <c r="K53" s="15" t="s">
        <v>485</v>
      </c>
      <c r="O53" s="17"/>
    </row>
    <row r="54" spans="3:15" customFormat="1" x14ac:dyDescent="0.3">
      <c r="C54" s="15" t="s">
        <v>587</v>
      </c>
      <c r="D54" s="15" t="s">
        <v>485</v>
      </c>
      <c r="E54" s="38">
        <v>1.5</v>
      </c>
      <c r="F54" s="7"/>
      <c r="G54" s="97">
        <f>E54</f>
        <v>1.5</v>
      </c>
      <c r="H54" s="7"/>
      <c r="I54" s="17"/>
      <c r="J54" s="83">
        <v>1.5</v>
      </c>
      <c r="K54" s="15" t="s">
        <v>485</v>
      </c>
      <c r="M54" s="26" t="s">
        <v>588</v>
      </c>
      <c r="O54" s="17"/>
    </row>
    <row r="55" spans="3:15" customFormat="1" x14ac:dyDescent="0.3">
      <c r="C55" s="15" t="s">
        <v>589</v>
      </c>
      <c r="D55" s="15" t="s">
        <v>590</v>
      </c>
      <c r="E55" s="25">
        <v>30</v>
      </c>
      <c r="F55" s="7"/>
      <c r="G55" s="42">
        <f>E55</f>
        <v>30</v>
      </c>
      <c r="H55" s="7"/>
      <c r="I55" s="17"/>
      <c r="J55" s="83" t="s">
        <v>591</v>
      </c>
      <c r="K55" s="15" t="s">
        <v>590</v>
      </c>
      <c r="M55" s="26" t="s">
        <v>588</v>
      </c>
      <c r="O55" s="17"/>
    </row>
    <row r="56" spans="3:15" customFormat="1" x14ac:dyDescent="0.3">
      <c r="C56" s="15" t="s">
        <v>592</v>
      </c>
      <c r="D56" s="15" t="s">
        <v>593</v>
      </c>
      <c r="E56" s="42">
        <f>E50-2</f>
        <v>12</v>
      </c>
      <c r="F56" s="42"/>
      <c r="G56" s="42">
        <f>G50-2</f>
        <v>5</v>
      </c>
      <c r="H56" s="7"/>
      <c r="I56" s="17"/>
      <c r="K56" s="15"/>
      <c r="O56" s="17"/>
    </row>
    <row r="57" spans="3:15" customFormat="1" x14ac:dyDescent="0.3">
      <c r="C57" s="15" t="s">
        <v>594</v>
      </c>
      <c r="D57" s="15" t="s">
        <v>485</v>
      </c>
      <c r="E57" s="97">
        <f>E54+E55/60*E56</f>
        <v>7.5</v>
      </c>
      <c r="F57" s="97"/>
      <c r="G57" s="97">
        <f>G54+G55/60*G56</f>
        <v>4</v>
      </c>
      <c r="H57" s="7"/>
      <c r="I57" s="17"/>
      <c r="K57" s="15"/>
      <c r="O57" s="17"/>
    </row>
    <row r="58" spans="3:15" customFormat="1" x14ac:dyDescent="0.3">
      <c r="C58" s="105" t="s">
        <v>491</v>
      </c>
      <c r="D58" s="15" t="s">
        <v>485</v>
      </c>
      <c r="E58" s="97">
        <f>E53+E57</f>
        <v>13.5</v>
      </c>
      <c r="F58" s="97"/>
      <c r="G58" s="97">
        <f>G53+G57</f>
        <v>9</v>
      </c>
      <c r="H58" s="7"/>
      <c r="I58" s="17"/>
      <c r="K58" s="15"/>
      <c r="O58" s="17"/>
    </row>
    <row r="59" spans="3:15" customFormat="1" x14ac:dyDescent="0.3">
      <c r="C59" s="15" t="s">
        <v>492</v>
      </c>
      <c r="D59" s="15" t="s">
        <v>493</v>
      </c>
      <c r="E59" s="25">
        <v>15</v>
      </c>
      <c r="F59" s="7"/>
      <c r="G59" s="25">
        <f>E59</f>
        <v>15</v>
      </c>
      <c r="H59" s="7"/>
      <c r="I59" s="17"/>
      <c r="J59" s="83" t="s">
        <v>494</v>
      </c>
      <c r="K59" s="15" t="s">
        <v>493</v>
      </c>
      <c r="M59" s="26" t="s">
        <v>495</v>
      </c>
      <c r="N59" s="17"/>
      <c r="O59" s="17"/>
    </row>
    <row r="60" spans="3:15" customFormat="1" x14ac:dyDescent="0.3">
      <c r="C60" s="105" t="s">
        <v>496</v>
      </c>
      <c r="D60" s="15" t="s">
        <v>69</v>
      </c>
      <c r="E60" s="42">
        <f>E58*E59</f>
        <v>202.5</v>
      </c>
      <c r="F60" s="42">
        <f>E60</f>
        <v>202.5</v>
      </c>
      <c r="G60" s="42">
        <f>G58*G59</f>
        <v>135</v>
      </c>
      <c r="H60" s="42">
        <f>G60</f>
        <v>135</v>
      </c>
      <c r="I60" s="17"/>
      <c r="K60" s="15"/>
      <c r="O60" s="17"/>
    </row>
    <row r="61" spans="3:15" customFormat="1" x14ac:dyDescent="0.3">
      <c r="C61" s="15" t="s">
        <v>595</v>
      </c>
      <c r="D61" s="15" t="s">
        <v>596</v>
      </c>
      <c r="E61" s="25">
        <v>30</v>
      </c>
      <c r="F61" s="7"/>
      <c r="G61" s="25">
        <f>E61</f>
        <v>30</v>
      </c>
      <c r="H61" s="7"/>
      <c r="I61" s="17"/>
      <c r="J61" s="83" t="s">
        <v>597</v>
      </c>
      <c r="K61" s="15" t="s">
        <v>596</v>
      </c>
      <c r="O61" s="17"/>
    </row>
    <row r="62" spans="3:15" customFormat="1" x14ac:dyDescent="0.3">
      <c r="C62" s="15" t="s">
        <v>598</v>
      </c>
      <c r="D62" s="15" t="s">
        <v>596</v>
      </c>
      <c r="E62" s="25">
        <v>20</v>
      </c>
      <c r="F62" s="7"/>
      <c r="G62" s="25">
        <f>E62</f>
        <v>20</v>
      </c>
      <c r="H62" s="7"/>
      <c r="I62" s="17"/>
      <c r="J62" s="83" t="s">
        <v>599</v>
      </c>
      <c r="K62" s="15" t="s">
        <v>596</v>
      </c>
      <c r="O62" s="17"/>
    </row>
    <row r="63" spans="3:15" customFormat="1" x14ac:dyDescent="0.3">
      <c r="C63" s="105" t="s">
        <v>501</v>
      </c>
      <c r="D63" s="15" t="s">
        <v>502</v>
      </c>
      <c r="E63" s="42">
        <f>E61*E48+E62*E49</f>
        <v>320</v>
      </c>
      <c r="F63" s="42">
        <f>E63</f>
        <v>320</v>
      </c>
      <c r="G63" s="42">
        <f>G61*G48+G62*G49</f>
        <v>160</v>
      </c>
      <c r="H63" s="42">
        <f>G63</f>
        <v>160</v>
      </c>
      <c r="I63" s="17"/>
    </row>
    <row r="64" spans="3:15" x14ac:dyDescent="0.3">
      <c r="C64" s="84" t="s">
        <v>503</v>
      </c>
      <c r="D64" s="84" t="s">
        <v>69</v>
      </c>
      <c r="E64" s="134">
        <f>E60+E63</f>
        <v>522.5</v>
      </c>
      <c r="F64" s="134">
        <f t="shared" ref="F64:H64" si="4">F60+F63</f>
        <v>522.5</v>
      </c>
      <c r="G64" s="134">
        <f t="shared" si="4"/>
        <v>295</v>
      </c>
      <c r="H64" s="134">
        <f t="shared" si="4"/>
        <v>295</v>
      </c>
    </row>
    <row r="65" spans="3:11" x14ac:dyDescent="0.3">
      <c r="C65" s="84"/>
      <c r="D65" s="84"/>
      <c r="E65" s="91"/>
      <c r="F65" s="91"/>
      <c r="G65" s="91"/>
      <c r="H65" s="91"/>
    </row>
    <row r="66" spans="3:11" x14ac:dyDescent="0.3">
      <c r="C66" s="84" t="s">
        <v>504</v>
      </c>
      <c r="D66" s="84" t="s">
        <v>505</v>
      </c>
      <c r="E66" s="25">
        <f>$J66*E64</f>
        <v>0</v>
      </c>
      <c r="F66" s="91">
        <f>E66</f>
        <v>0</v>
      </c>
      <c r="G66" s="25">
        <f>$J66*G64</f>
        <v>0</v>
      </c>
      <c r="H66" s="91">
        <f t="shared" ref="H66" si="5">G66</f>
        <v>0</v>
      </c>
      <c r="J66" s="58">
        <v>0</v>
      </c>
      <c r="K66" s="15" t="s">
        <v>600</v>
      </c>
    </row>
    <row r="67" spans="3:11" x14ac:dyDescent="0.3">
      <c r="C67" s="84" t="s">
        <v>508</v>
      </c>
      <c r="D67" s="84" t="s">
        <v>301</v>
      </c>
      <c r="E67" s="94">
        <f>'Model homes'!E171</f>
        <v>0.02</v>
      </c>
      <c r="F67" s="94"/>
      <c r="G67" s="94"/>
      <c r="H67" s="94"/>
    </row>
    <row r="68" spans="3:11" x14ac:dyDescent="0.3">
      <c r="C68" s="84" t="s">
        <v>509</v>
      </c>
      <c r="D68" s="84" t="s">
        <v>301</v>
      </c>
      <c r="E68" s="63">
        <f>IF($E67=E$70,1,(1-(((1+$E67)/(1+E$70))^E71))/(E70-$E67))</f>
        <v>8.8245523926477656</v>
      </c>
      <c r="F68" s="63">
        <f>IF($E67=F$70,1,(1-(((1+$E67)/(1+F$70))^F71))/(F70-$E67))</f>
        <v>8.8245523926477656</v>
      </c>
      <c r="G68" s="63">
        <f>IF($E67=G$70,1,(1-(((1+$E67)/(1+G$70))^G71))/(G70-$E67))</f>
        <v>8.8245523926477656</v>
      </c>
      <c r="H68" s="63">
        <f>IF($E67=H$70,1,(1-(((1+$E67)/(1+H$70))^H71))/(H70-$E67))</f>
        <v>8.8245523926477656</v>
      </c>
    </row>
    <row r="69" spans="3:11" x14ac:dyDescent="0.3">
      <c r="C69" s="84" t="s">
        <v>510</v>
      </c>
      <c r="D69" s="84" t="s">
        <v>505</v>
      </c>
      <c r="E69" s="63">
        <f>-PMT(E70,E71,E66*E68)</f>
        <v>0</v>
      </c>
      <c r="F69" s="63">
        <f>-PMT(F70,F71,F66*F68)</f>
        <v>0</v>
      </c>
      <c r="G69" s="63">
        <f>-PMT(G70,G71,G66*G68)</f>
        <v>0</v>
      </c>
      <c r="H69" s="63">
        <f>-PMT(H70,H71,H66*H68)</f>
        <v>0</v>
      </c>
    </row>
    <row r="70" spans="3:11" x14ac:dyDescent="0.3">
      <c r="C70" s="84" t="s">
        <v>302</v>
      </c>
      <c r="D70" s="84" t="s">
        <v>301</v>
      </c>
      <c r="E70" s="94">
        <f>'Model homes'!$E169</f>
        <v>0.04</v>
      </c>
      <c r="F70" s="94">
        <f>'Model homes'!$E169</f>
        <v>0.04</v>
      </c>
      <c r="G70" s="94">
        <f>'Model homes'!$E169</f>
        <v>0.04</v>
      </c>
      <c r="H70" s="94">
        <f>'Model homes'!$E169</f>
        <v>0.04</v>
      </c>
    </row>
    <row r="71" spans="3:11" x14ac:dyDescent="0.3">
      <c r="C71" s="84" t="s">
        <v>511</v>
      </c>
      <c r="D71" s="84" t="s">
        <v>512</v>
      </c>
      <c r="E71" s="25">
        <v>10</v>
      </c>
      <c r="F71" s="91">
        <f>E71</f>
        <v>10</v>
      </c>
      <c r="G71" s="91">
        <f t="shared" ref="G71:H71" si="6">F71</f>
        <v>10</v>
      </c>
      <c r="H71" s="91">
        <f t="shared" si="6"/>
        <v>10</v>
      </c>
      <c r="J71" s="83" t="s">
        <v>601</v>
      </c>
      <c r="K71" s="15" t="s">
        <v>514</v>
      </c>
    </row>
    <row r="72" spans="3:11" x14ac:dyDescent="0.3">
      <c r="C72" s="84"/>
      <c r="D72" s="84"/>
      <c r="E72" s="91"/>
      <c r="F72" s="91"/>
      <c r="G72" s="91"/>
      <c r="H72" s="91"/>
    </row>
    <row r="73" spans="3:11" x14ac:dyDescent="0.3">
      <c r="C73" s="51" t="s">
        <v>515</v>
      </c>
      <c r="D73" s="84"/>
      <c r="E73" s="91"/>
      <c r="F73" s="91"/>
      <c r="G73" s="91"/>
      <c r="H73" s="91"/>
    </row>
    <row r="74" spans="3:11" x14ac:dyDescent="0.3">
      <c r="C74" s="20" t="s">
        <v>14</v>
      </c>
      <c r="D74" s="15" t="s">
        <v>299</v>
      </c>
      <c r="E74" s="42" t="e">
        <f>'Model homes'!E$127*E23*10^-3/'Model homes'!E21</f>
        <v>#VALUE!</v>
      </c>
      <c r="F74" s="42" t="e">
        <f>'Model homes'!F$127*F23*10^-3/'Model homes'!F21</f>
        <v>#VALUE!</v>
      </c>
      <c r="G74" s="42" t="e">
        <f>'Model homes'!G$127*G23*10^-3/'Model homes'!G21</f>
        <v>#VALUE!</v>
      </c>
      <c r="H74" s="42" t="e">
        <f>'Model homes'!H$127*H23*10^-3/'Model homes'!H21</f>
        <v>#VALUE!</v>
      </c>
      <c r="J74" s="26" t="s">
        <v>516</v>
      </c>
    </row>
    <row r="75" spans="3:11" x14ac:dyDescent="0.3">
      <c r="C75" s="14" t="s">
        <v>15</v>
      </c>
      <c r="D75" s="15" t="s">
        <v>299</v>
      </c>
      <c r="E75" s="42" t="e">
        <f>'Model homes'!E149*SPH_VL_Seal!E35</f>
        <v>#VALUE!</v>
      </c>
      <c r="F75" s="42" t="e">
        <f>'Model homes'!F149*SPH_VL_Seal!F35</f>
        <v>#VALUE!</v>
      </c>
      <c r="G75" s="42" t="e">
        <f>'Model homes'!G149*SPH_VL_Seal!G35</f>
        <v>#VALUE!</v>
      </c>
      <c r="H75" s="42" t="e">
        <f>'Model homes'!H149*SPH_VL_Seal!H35</f>
        <v>#VALUE!</v>
      </c>
      <c r="J75" s="26"/>
    </row>
    <row r="76" spans="3:11" x14ac:dyDescent="0.3">
      <c r="C76" s="15" t="s">
        <v>16</v>
      </c>
      <c r="D76" s="15" t="s">
        <v>299</v>
      </c>
      <c r="E76" s="42" t="e">
        <f>'Model homes'!E150*SPH_VL_Seal!E36</f>
        <v>#VALUE!</v>
      </c>
      <c r="F76" s="42" t="e">
        <f>'Model homes'!F150*SPH_VL_Seal!F36</f>
        <v>#VALUE!</v>
      </c>
      <c r="G76" s="42" t="e">
        <f>'Model homes'!G150*SPH_VL_Seal!G36</f>
        <v>#VALUE!</v>
      </c>
      <c r="H76" s="42" t="e">
        <f>'Model homes'!H150*SPH_VL_Seal!H36</f>
        <v>#VALUE!</v>
      </c>
      <c r="J76" s="26"/>
    </row>
    <row r="77" spans="3:11" x14ac:dyDescent="0.3">
      <c r="C77" s="15" t="s">
        <v>17</v>
      </c>
      <c r="D77" s="15" t="s">
        <v>299</v>
      </c>
      <c r="E77" s="42" t="e">
        <f>'Model homes'!E151*SPH_VL_Seal!E37</f>
        <v>#VALUE!</v>
      </c>
      <c r="F77" s="42" t="e">
        <f>'Model homes'!F151*SPH_VL_Seal!F37</f>
        <v>#VALUE!</v>
      </c>
      <c r="G77" s="42" t="e">
        <f>'Model homes'!G151*SPH_VL_Seal!G37</f>
        <v>#VALUE!</v>
      </c>
      <c r="H77" s="42" t="e">
        <f>'Model homes'!H151*SPH_VL_Seal!H37</f>
        <v>#VALUE!</v>
      </c>
      <c r="J77" s="26"/>
    </row>
    <row r="78" spans="3:11" x14ac:dyDescent="0.3">
      <c r="C78" s="15" t="s">
        <v>18</v>
      </c>
      <c r="D78" s="15" t="s">
        <v>299</v>
      </c>
      <c r="E78" s="42" t="e">
        <f>'Model homes'!E152*SPH_VL_Seal!E38</f>
        <v>#VALUE!</v>
      </c>
      <c r="F78" s="42" t="e">
        <f>'Model homes'!F152*SPH_VL_Seal!F38</f>
        <v>#VALUE!</v>
      </c>
      <c r="G78" s="42" t="e">
        <f>'Model homes'!G152*SPH_VL_Seal!G38</f>
        <v>#VALUE!</v>
      </c>
      <c r="H78" s="42" t="e">
        <f>'Model homes'!H152*SPH_VL_Seal!H38</f>
        <v>#VALUE!</v>
      </c>
      <c r="J78" s="26"/>
    </row>
    <row r="79" spans="3:11" x14ac:dyDescent="0.3">
      <c r="C79" s="15" t="s">
        <v>19</v>
      </c>
      <c r="D79" s="15" t="s">
        <v>299</v>
      </c>
      <c r="E79" s="42" t="e">
        <f>'Model homes'!E153*SPH_VL_Seal!E39</f>
        <v>#VALUE!</v>
      </c>
      <c r="F79" s="42" t="e">
        <f>'Model homes'!F153*SPH_VL_Seal!F39</f>
        <v>#VALUE!</v>
      </c>
      <c r="G79" s="42" t="e">
        <f>'Model homes'!G153*SPH_VL_Seal!G39</f>
        <v>#VALUE!</v>
      </c>
      <c r="H79" s="42" t="e">
        <f>'Model homes'!H153*SPH_VL_Seal!H39</f>
        <v>#VALUE!</v>
      </c>
      <c r="J79" s="26"/>
    </row>
    <row r="80" spans="3:11" ht="15.95" customHeight="1" x14ac:dyDescent="0.3">
      <c r="C80" s="14" t="s">
        <v>20</v>
      </c>
      <c r="D80" s="15" t="s">
        <v>299</v>
      </c>
      <c r="E80" s="42" t="e">
        <f>'Model homes'!E154*SPH_VL_Seal!E40</f>
        <v>#VALUE!</v>
      </c>
      <c r="F80" s="42" t="e">
        <f>'Model homes'!F154*SPH_VL_Seal!F40</f>
        <v>#VALUE!</v>
      </c>
      <c r="G80" s="42" t="e">
        <f>'Model homes'!G154*SPH_VL_Seal!G40</f>
        <v>#VALUE!</v>
      </c>
      <c r="H80" s="42" t="e">
        <f>'Model homes'!H154*SPH_VL_Seal!H40</f>
        <v>#VALUE!</v>
      </c>
      <c r="J80" s="26"/>
    </row>
    <row r="81" spans="2:12" ht="15.95" customHeight="1" x14ac:dyDescent="0.3">
      <c r="C81" s="14" t="s">
        <v>21</v>
      </c>
      <c r="D81" s="15" t="s">
        <v>299</v>
      </c>
      <c r="E81" s="42" t="e">
        <f>'Model homes'!E155*SPH_VL_Seal!E41</f>
        <v>#VALUE!</v>
      </c>
      <c r="F81" s="42" t="e">
        <f>'Model homes'!F155*SPH_VL_Seal!F41</f>
        <v>#VALUE!</v>
      </c>
      <c r="G81" s="42" t="e">
        <f>'Model homes'!G155*SPH_VL_Seal!G41</f>
        <v>#VALUE!</v>
      </c>
      <c r="H81" s="42" t="e">
        <f>'Model homes'!H155*SPH_VL_Seal!H41</f>
        <v>#VALUE!</v>
      </c>
      <c r="J81" s="26"/>
      <c r="K81" s="17" t="s">
        <v>478</v>
      </c>
      <c r="L81" s="17" t="s">
        <v>479</v>
      </c>
    </row>
    <row r="82" spans="2:12" x14ac:dyDescent="0.3">
      <c r="C82" s="14" t="s">
        <v>22</v>
      </c>
      <c r="D82" s="15" t="s">
        <v>299</v>
      </c>
      <c r="E82" s="42" t="e">
        <f>'Model homes'!E156*SPH_VL_Seal!E42</f>
        <v>#VALUE!</v>
      </c>
      <c r="F82" s="42" t="e">
        <f>'Model homes'!F156*SPH_VL_Seal!F42</f>
        <v>#VALUE!</v>
      </c>
      <c r="G82" s="42" t="e">
        <f>'Model homes'!G156*SPH_VL_Seal!G42</f>
        <v>#VALUE!</v>
      </c>
      <c r="H82" s="42" t="e">
        <f>'Model homes'!H156*SPH_VL_Seal!H42</f>
        <v>#VALUE!</v>
      </c>
      <c r="J82" s="45" t="e">
        <f>ROUND(MIN(E74:H82),0)&amp;" - "&amp;ROUND(MAX(E74:H82),0)</f>
        <v>#VALUE!</v>
      </c>
      <c r="K82" s="45" t="e">
        <f>AVERAGE(E74:H82)</f>
        <v>#VALUE!</v>
      </c>
      <c r="L82" s="45" t="e">
        <f>AVERAGEIFS($E$74:$H$82,$J$100:$M$108,"yes")</f>
        <v>#DIV/0!</v>
      </c>
    </row>
    <row r="83" spans="2:12" x14ac:dyDescent="0.3">
      <c r="C83" s="20"/>
      <c r="D83" s="15"/>
      <c r="E83" s="42"/>
      <c r="F83" s="55"/>
      <c r="G83" s="42"/>
      <c r="H83" s="42"/>
      <c r="J83" s="26"/>
    </row>
    <row r="84" spans="2:12" x14ac:dyDescent="0.3">
      <c r="C84" s="51" t="s">
        <v>517</v>
      </c>
      <c r="D84" s="84"/>
      <c r="E84" s="91"/>
      <c r="F84" s="91"/>
      <c r="G84" s="91"/>
      <c r="H84" s="91"/>
      <c r="J84" s="51" t="s">
        <v>509</v>
      </c>
    </row>
    <row r="85" spans="2:12" x14ac:dyDescent="0.3">
      <c r="C85" s="20" t="s">
        <v>14</v>
      </c>
      <c r="D85" s="15" t="s">
        <v>299</v>
      </c>
      <c r="E85" s="55" t="e">
        <f>-PMT(E$70,E$71,E74*$J85)</f>
        <v>#VALUE!</v>
      </c>
      <c r="F85" s="55" t="e">
        <f t="shared" ref="F85:H85" si="7">-PMT(F$70,F$71,F74*$J85)</f>
        <v>#VALUE!</v>
      </c>
      <c r="G85" s="55" t="e">
        <f t="shared" si="7"/>
        <v>#VALUE!</v>
      </c>
      <c r="H85" s="55" t="e">
        <f t="shared" si="7"/>
        <v>#VALUE!</v>
      </c>
      <c r="J85" s="63">
        <f>(1-(((1+'Model homes'!$E159)/(1+E$70))^E$71))/(E$70-'Model homes'!$E159)</f>
        <v>9.0147165915491776</v>
      </c>
    </row>
    <row r="86" spans="2:12" x14ac:dyDescent="0.3">
      <c r="C86" s="14" t="s">
        <v>15</v>
      </c>
      <c r="D86" s="15" t="s">
        <v>299</v>
      </c>
      <c r="E86" s="55" t="e">
        <f t="shared" ref="E86:H93" si="8">-PMT(E$70,E$71,E75*$J86)</f>
        <v>#VALUE!</v>
      </c>
      <c r="F86" s="55" t="e">
        <f t="shared" si="8"/>
        <v>#VALUE!</v>
      </c>
      <c r="G86" s="55" t="e">
        <f t="shared" si="8"/>
        <v>#VALUE!</v>
      </c>
      <c r="H86" s="55" t="e">
        <f t="shared" si="8"/>
        <v>#VALUE!</v>
      </c>
      <c r="J86" s="63">
        <f>(1-(((1+'Model homes'!$E160)/(1+E$70))^E$71))/(E$70-'Model homes'!$E160)</f>
        <v>8.8245523926477656</v>
      </c>
    </row>
    <row r="87" spans="2:12" x14ac:dyDescent="0.3">
      <c r="C87" s="15" t="s">
        <v>16</v>
      </c>
      <c r="D87" s="15" t="s">
        <v>299</v>
      </c>
      <c r="E87" s="55" t="e">
        <f t="shared" si="8"/>
        <v>#VALUE!</v>
      </c>
      <c r="F87" s="55" t="e">
        <f t="shared" si="8"/>
        <v>#VALUE!</v>
      </c>
      <c r="G87" s="55" t="e">
        <f t="shared" si="8"/>
        <v>#VALUE!</v>
      </c>
      <c r="H87" s="55" t="e">
        <f t="shared" si="8"/>
        <v>#VALUE!</v>
      </c>
      <c r="J87" s="63">
        <f>(1-(((1+'Model homes'!$E161)/(1+E$70))^E$71))/(E$70-'Model homes'!$E161)</f>
        <v>9.0147165915491776</v>
      </c>
    </row>
    <row r="88" spans="2:12" x14ac:dyDescent="0.3">
      <c r="C88" s="15" t="s">
        <v>17</v>
      </c>
      <c r="D88" s="15" t="s">
        <v>299</v>
      </c>
      <c r="E88" s="55" t="e">
        <f t="shared" si="8"/>
        <v>#VALUE!</v>
      </c>
      <c r="F88" s="55" t="e">
        <f t="shared" si="8"/>
        <v>#VALUE!</v>
      </c>
      <c r="G88" s="55" t="e">
        <f t="shared" si="8"/>
        <v>#VALUE!</v>
      </c>
      <c r="H88" s="55" t="e">
        <f t="shared" si="8"/>
        <v>#VALUE!</v>
      </c>
      <c r="J88" s="63">
        <f>(1-(((1+'Model homes'!$E162)/(1+E$70))^E$71))/(E$70-'Model homes'!$E162)</f>
        <v>9.0147165915491776</v>
      </c>
    </row>
    <row r="89" spans="2:12" x14ac:dyDescent="0.3">
      <c r="C89" s="15" t="s">
        <v>18</v>
      </c>
      <c r="D89" s="15" t="s">
        <v>299</v>
      </c>
      <c r="E89" s="55" t="e">
        <f t="shared" si="8"/>
        <v>#VALUE!</v>
      </c>
      <c r="F89" s="55" t="e">
        <f t="shared" si="8"/>
        <v>#VALUE!</v>
      </c>
      <c r="G89" s="55" t="e">
        <f t="shared" si="8"/>
        <v>#VALUE!</v>
      </c>
      <c r="H89" s="55" t="e">
        <f t="shared" si="8"/>
        <v>#VALUE!</v>
      </c>
      <c r="J89" s="63">
        <f>(1-(((1+'Model homes'!$E163)/(1+E$70))^E$71))/(E$70-'Model homes'!$E163)</f>
        <v>9.0147165915491776</v>
      </c>
    </row>
    <row r="90" spans="2:12" x14ac:dyDescent="0.3">
      <c r="C90" s="15" t="s">
        <v>19</v>
      </c>
      <c r="D90" s="15" t="s">
        <v>299</v>
      </c>
      <c r="E90" s="55" t="e">
        <f t="shared" si="8"/>
        <v>#VALUE!</v>
      </c>
      <c r="F90" s="55" t="e">
        <f t="shared" si="8"/>
        <v>#VALUE!</v>
      </c>
      <c r="G90" s="55" t="e">
        <f t="shared" si="8"/>
        <v>#VALUE!</v>
      </c>
      <c r="H90" s="55" t="e">
        <f t="shared" si="8"/>
        <v>#VALUE!</v>
      </c>
      <c r="J90" s="63">
        <f>(1-(((1+'Model homes'!$E164)/(1+E$70))^E$71))/(E$70-'Model homes'!$E164)</f>
        <v>9.0147165915491776</v>
      </c>
    </row>
    <row r="91" spans="2:12" ht="15.95" customHeight="1" x14ac:dyDescent="0.3">
      <c r="C91" s="14" t="s">
        <v>20</v>
      </c>
      <c r="D91" s="15" t="s">
        <v>299</v>
      </c>
      <c r="E91" s="55" t="e">
        <f t="shared" si="8"/>
        <v>#VALUE!</v>
      </c>
      <c r="F91" s="55" t="e">
        <f t="shared" si="8"/>
        <v>#VALUE!</v>
      </c>
      <c r="G91" s="55" t="e">
        <f t="shared" si="8"/>
        <v>#VALUE!</v>
      </c>
      <c r="H91" s="55" t="e">
        <f t="shared" si="8"/>
        <v>#VALUE!</v>
      </c>
      <c r="J91" s="63">
        <f>(1-(((1+'Model homes'!$E165)/(1+E$70))^E$71))/(E$70-'Model homes'!$E165)</f>
        <v>9.170401596707638</v>
      </c>
    </row>
    <row r="92" spans="2:12" ht="15.95" customHeight="1" x14ac:dyDescent="0.3">
      <c r="C92" s="14" t="s">
        <v>21</v>
      </c>
      <c r="D92" s="15" t="s">
        <v>299</v>
      </c>
      <c r="E92" s="55" t="e">
        <f t="shared" si="8"/>
        <v>#VALUE!</v>
      </c>
      <c r="F92" s="55" t="e">
        <f t="shared" si="8"/>
        <v>#VALUE!</v>
      </c>
      <c r="G92" s="55" t="e">
        <f t="shared" si="8"/>
        <v>#VALUE!</v>
      </c>
      <c r="H92" s="55" t="e">
        <f t="shared" si="8"/>
        <v>#VALUE!</v>
      </c>
      <c r="J92" s="63">
        <f>(1-(((1+'Model homes'!$E166)/(1+E$70))^E$71))/(E$70-'Model homes'!$E166)</f>
        <v>9.0147165915491776</v>
      </c>
    </row>
    <row r="93" spans="2:12" x14ac:dyDescent="0.3">
      <c r="C93" s="14" t="s">
        <v>22</v>
      </c>
      <c r="D93" s="15" t="s">
        <v>299</v>
      </c>
      <c r="E93" s="55" t="e">
        <f t="shared" si="8"/>
        <v>#VALUE!</v>
      </c>
      <c r="F93" s="55" t="e">
        <f t="shared" si="8"/>
        <v>#VALUE!</v>
      </c>
      <c r="G93" s="55" t="e">
        <f t="shared" si="8"/>
        <v>#VALUE!</v>
      </c>
      <c r="H93" s="55" t="e">
        <f t="shared" si="8"/>
        <v>#VALUE!</v>
      </c>
      <c r="J93" s="63">
        <f>(1-(((1+'Model homes'!$E167)/(1+E$70))^E$71))/(E$70-'Model homes'!$E167)</f>
        <v>9.0147165915491776</v>
      </c>
    </row>
    <row r="94" spans="2:12" x14ac:dyDescent="0.3">
      <c r="C94" s="20"/>
      <c r="D94" s="15"/>
      <c r="E94" s="42"/>
      <c r="F94" s="55"/>
      <c r="G94" s="42"/>
      <c r="H94" s="42"/>
      <c r="J94" s="26"/>
    </row>
    <row r="95" spans="2:12" ht="20.25" x14ac:dyDescent="0.35">
      <c r="C95" s="81" t="s">
        <v>518</v>
      </c>
      <c r="D95" s="46"/>
      <c r="E95" s="55"/>
      <c r="F95" s="55"/>
      <c r="G95" s="55"/>
      <c r="H95" s="55"/>
      <c r="J95" s="26"/>
    </row>
    <row r="96" spans="2:12" s="18" customFormat="1" ht="17.25" thickBot="1" x14ac:dyDescent="0.35">
      <c r="B96" s="19" t="s">
        <v>153</v>
      </c>
      <c r="C96" s="19" t="s">
        <v>154</v>
      </c>
      <c r="D96" s="19" t="s">
        <v>32</v>
      </c>
      <c r="E96" s="19" t="s">
        <v>155</v>
      </c>
      <c r="F96" s="19"/>
      <c r="G96" s="19" t="s">
        <v>155</v>
      </c>
      <c r="H96" s="19"/>
      <c r="I96" s="19"/>
      <c r="J96" s="56" t="s">
        <v>156</v>
      </c>
      <c r="K96" s="56"/>
    </row>
    <row r="97" spans="2:16" s="30" customFormat="1" ht="18" thickTop="1" thickBot="1" x14ac:dyDescent="0.35">
      <c r="B97" s="28"/>
      <c r="C97" s="29" t="s">
        <v>157</v>
      </c>
      <c r="D97" s="29"/>
      <c r="E97" s="335" t="s">
        <v>5</v>
      </c>
      <c r="F97" s="335"/>
      <c r="G97" s="335" t="s">
        <v>6</v>
      </c>
      <c r="H97" s="335"/>
      <c r="I97" s="28"/>
      <c r="J97" s="28"/>
      <c r="K97" s="57"/>
      <c r="M97" s="20"/>
    </row>
    <row r="98" spans="2:16" ht="18" thickTop="1" thickBot="1" x14ac:dyDescent="0.35">
      <c r="B98" s="19"/>
      <c r="C98" s="29" t="s">
        <v>158</v>
      </c>
      <c r="D98" s="29"/>
      <c r="E98" s="29" t="s">
        <v>7</v>
      </c>
      <c r="F98" s="29" t="s">
        <v>8</v>
      </c>
      <c r="G98" s="29" t="s">
        <v>7</v>
      </c>
      <c r="H98" s="29" t="s">
        <v>8</v>
      </c>
      <c r="I98" s="19"/>
      <c r="J98" s="19"/>
      <c r="K98" s="56"/>
      <c r="M98" s="82"/>
      <c r="N98" s="82"/>
    </row>
    <row r="99" spans="2:16" ht="17.25" thickTop="1" x14ac:dyDescent="0.3">
      <c r="C99" s="51" t="s">
        <v>519</v>
      </c>
      <c r="D99" s="84"/>
      <c r="E99" s="90"/>
      <c r="F99" s="90"/>
      <c r="G99" s="90"/>
      <c r="H99" s="90"/>
      <c r="J99" s="20" t="s">
        <v>520</v>
      </c>
    </row>
    <row r="100" spans="2:16" x14ac:dyDescent="0.3">
      <c r="C100" s="20" t="s">
        <v>14</v>
      </c>
      <c r="D100" s="84" t="s">
        <v>512</v>
      </c>
      <c r="E100" s="42" t="e">
        <f>E$64/'Model homes'!E$22/(E74-E$66)</f>
        <v>#VALUE!</v>
      </c>
      <c r="F100" s="42" t="e">
        <f>F$64/'Model homes'!F$22/(F74-F$66)</f>
        <v>#VALUE!</v>
      </c>
      <c r="G100" s="42" t="e">
        <f>G$64/'Model homes'!G$22/(G74-G$66)</f>
        <v>#VALUE!</v>
      </c>
      <c r="H100" s="42" t="e">
        <f>H$64/'Model homes'!H$22/(H74-H$66)</f>
        <v>#VALUE!</v>
      </c>
      <c r="J100" s="42" t="e">
        <f t="shared" ref="J100:M108" si="9">IF(E100&lt;E$71,"yes","no")</f>
        <v>#VALUE!</v>
      </c>
      <c r="K100" s="42" t="e">
        <f t="shared" si="9"/>
        <v>#VALUE!</v>
      </c>
      <c r="L100" s="42" t="e">
        <f t="shared" si="9"/>
        <v>#VALUE!</v>
      </c>
      <c r="M100" s="42" t="e">
        <f t="shared" si="9"/>
        <v>#VALUE!</v>
      </c>
    </row>
    <row r="101" spans="2:16" x14ac:dyDescent="0.3">
      <c r="C101" s="14" t="s">
        <v>15</v>
      </c>
      <c r="D101" s="84" t="s">
        <v>512</v>
      </c>
      <c r="E101" s="42" t="e">
        <f>E$64/'Model homes'!E$22/(E75-E$66)</f>
        <v>#VALUE!</v>
      </c>
      <c r="F101" s="42" t="e">
        <f>F$64/'Model homes'!F$22/(F75-F$66)</f>
        <v>#VALUE!</v>
      </c>
      <c r="G101" s="42" t="e">
        <f>G$64/'Model homes'!G$22/(G75-G$66)</f>
        <v>#VALUE!</v>
      </c>
      <c r="H101" s="42" t="e">
        <f>H$64/'Model homes'!H$22/(H75-H$66)</f>
        <v>#VALUE!</v>
      </c>
      <c r="J101" s="42" t="e">
        <f t="shared" si="9"/>
        <v>#VALUE!</v>
      </c>
      <c r="K101" s="42" t="e">
        <f t="shared" si="9"/>
        <v>#VALUE!</v>
      </c>
      <c r="L101" s="42" t="e">
        <f t="shared" si="9"/>
        <v>#VALUE!</v>
      </c>
      <c r="M101" s="42" t="e">
        <f t="shared" si="9"/>
        <v>#VALUE!</v>
      </c>
    </row>
    <row r="102" spans="2:16" x14ac:dyDescent="0.3">
      <c r="C102" s="15" t="s">
        <v>16</v>
      </c>
      <c r="D102" s="84" t="s">
        <v>512</v>
      </c>
      <c r="E102" s="42" t="e">
        <f>E$64/'Model homes'!E$22/(E76-E$66)</f>
        <v>#VALUE!</v>
      </c>
      <c r="F102" s="42" t="e">
        <f>F$64/'Model homes'!F$22/(F76-F$66)</f>
        <v>#VALUE!</v>
      </c>
      <c r="G102" s="42" t="e">
        <f>G$64/'Model homes'!G$22/(G76-G$66)</f>
        <v>#VALUE!</v>
      </c>
      <c r="H102" s="42" t="e">
        <f>H$64/'Model homes'!H$22/(H76-H$66)</f>
        <v>#VALUE!</v>
      </c>
      <c r="J102" s="42" t="e">
        <f t="shared" si="9"/>
        <v>#VALUE!</v>
      </c>
      <c r="K102" s="42" t="e">
        <f t="shared" si="9"/>
        <v>#VALUE!</v>
      </c>
      <c r="L102" s="42" t="e">
        <f t="shared" si="9"/>
        <v>#VALUE!</v>
      </c>
      <c r="M102" s="42" t="e">
        <f t="shared" si="9"/>
        <v>#VALUE!</v>
      </c>
    </row>
    <row r="103" spans="2:16" x14ac:dyDescent="0.3">
      <c r="C103" s="15" t="s">
        <v>17</v>
      </c>
      <c r="D103" s="84" t="s">
        <v>512</v>
      </c>
      <c r="E103" s="42" t="e">
        <f>E$64/'Model homes'!E$22/(E77-E$66)</f>
        <v>#VALUE!</v>
      </c>
      <c r="F103" s="42" t="e">
        <f>F$64/'Model homes'!F$22/(F77-F$66)</f>
        <v>#VALUE!</v>
      </c>
      <c r="G103" s="42" t="e">
        <f>G$64/'Model homes'!G$22/(G77-G$66)</f>
        <v>#VALUE!</v>
      </c>
      <c r="H103" s="42" t="e">
        <f>H$64/'Model homes'!H$22/(H77-H$66)</f>
        <v>#VALUE!</v>
      </c>
      <c r="J103" s="42" t="e">
        <f t="shared" si="9"/>
        <v>#VALUE!</v>
      </c>
      <c r="K103" s="42" t="e">
        <f t="shared" si="9"/>
        <v>#VALUE!</v>
      </c>
      <c r="L103" s="42" t="e">
        <f t="shared" si="9"/>
        <v>#VALUE!</v>
      </c>
      <c r="M103" s="42" t="e">
        <f t="shared" si="9"/>
        <v>#VALUE!</v>
      </c>
    </row>
    <row r="104" spans="2:16" x14ac:dyDescent="0.3">
      <c r="C104" s="15" t="s">
        <v>18</v>
      </c>
      <c r="D104" s="84" t="s">
        <v>512</v>
      </c>
      <c r="E104" s="42" t="e">
        <f>E$64/'Model homes'!E$22/(E78-E$66)</f>
        <v>#VALUE!</v>
      </c>
      <c r="F104" s="42" t="e">
        <f>F$64/'Model homes'!F$22/(F78-F$66)</f>
        <v>#VALUE!</v>
      </c>
      <c r="G104" s="42" t="e">
        <f>G$64/'Model homes'!G$22/(G78-G$66)</f>
        <v>#VALUE!</v>
      </c>
      <c r="H104" s="42" t="e">
        <f>H$64/'Model homes'!H$22/(H78-H$66)</f>
        <v>#VALUE!</v>
      </c>
      <c r="J104" s="42" t="e">
        <f t="shared" si="9"/>
        <v>#VALUE!</v>
      </c>
      <c r="K104" s="42" t="e">
        <f t="shared" si="9"/>
        <v>#VALUE!</v>
      </c>
      <c r="L104" s="42" t="e">
        <f t="shared" si="9"/>
        <v>#VALUE!</v>
      </c>
      <c r="M104" s="42" t="e">
        <f t="shared" si="9"/>
        <v>#VALUE!</v>
      </c>
    </row>
    <row r="105" spans="2:16" x14ac:dyDescent="0.3">
      <c r="C105" s="15" t="s">
        <v>19</v>
      </c>
      <c r="D105" s="84" t="s">
        <v>512</v>
      </c>
      <c r="E105" s="42" t="e">
        <f>E$64/'Model homes'!E$22/(E79-E$66)</f>
        <v>#VALUE!</v>
      </c>
      <c r="F105" s="42" t="e">
        <f>F$64/'Model homes'!F$22/(F79-F$66)</f>
        <v>#VALUE!</v>
      </c>
      <c r="G105" s="42" t="e">
        <f>G$64/'Model homes'!G$22/(G79-G$66)</f>
        <v>#VALUE!</v>
      </c>
      <c r="H105" s="42" t="e">
        <f>H$64/'Model homes'!H$22/(H79-H$66)</f>
        <v>#VALUE!</v>
      </c>
      <c r="J105" s="42" t="e">
        <f t="shared" si="9"/>
        <v>#VALUE!</v>
      </c>
      <c r="K105" s="42" t="e">
        <f t="shared" si="9"/>
        <v>#VALUE!</v>
      </c>
      <c r="L105" s="42" t="e">
        <f t="shared" si="9"/>
        <v>#VALUE!</v>
      </c>
      <c r="M105" s="42" t="e">
        <f t="shared" si="9"/>
        <v>#VALUE!</v>
      </c>
    </row>
    <row r="106" spans="2:16" ht="15.95" customHeight="1" x14ac:dyDescent="0.3">
      <c r="C106" s="14" t="s">
        <v>20</v>
      </c>
      <c r="D106" s="84" t="s">
        <v>512</v>
      </c>
      <c r="E106" s="42" t="e">
        <f>E$64/'Model homes'!E$22/(E80-E$66)</f>
        <v>#VALUE!</v>
      </c>
      <c r="F106" s="42" t="e">
        <f>F$64/'Model homes'!F$22/(F80-F$66)</f>
        <v>#VALUE!</v>
      </c>
      <c r="G106" s="42" t="e">
        <f>G$64/'Model homes'!G$22/(G80-G$66)</f>
        <v>#VALUE!</v>
      </c>
      <c r="H106" s="42" t="e">
        <f>H$64/'Model homes'!H$22/(H80-H$66)</f>
        <v>#VALUE!</v>
      </c>
      <c r="J106" s="42" t="e">
        <f t="shared" si="9"/>
        <v>#VALUE!</v>
      </c>
      <c r="K106" s="42" t="e">
        <f t="shared" si="9"/>
        <v>#VALUE!</v>
      </c>
      <c r="L106" s="42" t="e">
        <f t="shared" si="9"/>
        <v>#VALUE!</v>
      </c>
      <c r="M106" s="42" t="e">
        <f t="shared" si="9"/>
        <v>#VALUE!</v>
      </c>
    </row>
    <row r="107" spans="2:16" ht="15.95" customHeight="1" x14ac:dyDescent="0.3">
      <c r="C107" s="14" t="s">
        <v>21</v>
      </c>
      <c r="D107" s="84" t="s">
        <v>512</v>
      </c>
      <c r="E107" s="42" t="e">
        <f>E$64/'Model homes'!E$22/(E81-E$66)</f>
        <v>#VALUE!</v>
      </c>
      <c r="F107" s="42" t="e">
        <f>F$64/'Model homes'!F$22/(F81-F$66)</f>
        <v>#VALUE!</v>
      </c>
      <c r="G107" s="42" t="e">
        <f>G$64/'Model homes'!G$22/(G81-G$66)</f>
        <v>#VALUE!</v>
      </c>
      <c r="H107" s="42" t="e">
        <f>H$64/'Model homes'!H$22/(H81-H$66)</f>
        <v>#VALUE!</v>
      </c>
      <c r="J107" s="42" t="e">
        <f t="shared" si="9"/>
        <v>#VALUE!</v>
      </c>
      <c r="K107" s="42" t="e">
        <f t="shared" si="9"/>
        <v>#VALUE!</v>
      </c>
      <c r="L107" s="42" t="e">
        <f t="shared" si="9"/>
        <v>#VALUE!</v>
      </c>
      <c r="M107" s="42" t="e">
        <f t="shared" si="9"/>
        <v>#VALUE!</v>
      </c>
      <c r="O107" s="17" t="s">
        <v>7</v>
      </c>
      <c r="P107" s="17" t="s">
        <v>8</v>
      </c>
    </row>
    <row r="108" spans="2:16" x14ac:dyDescent="0.3">
      <c r="C108" s="14" t="s">
        <v>22</v>
      </c>
      <c r="D108" s="84" t="s">
        <v>512</v>
      </c>
      <c r="E108" s="42" t="e">
        <f>E$64/'Model homes'!E$22/(E82-E$66)</f>
        <v>#VALUE!</v>
      </c>
      <c r="F108" s="42" t="e">
        <f>F$64/'Model homes'!F$22/(F82-F$66)</f>
        <v>#VALUE!</v>
      </c>
      <c r="G108" s="42" t="e">
        <f>G$64/'Model homes'!G$22/(G82-G$66)</f>
        <v>#VALUE!</v>
      </c>
      <c r="H108" s="42" t="e">
        <f>H$64/'Model homes'!H$22/(H82-H$66)</f>
        <v>#VALUE!</v>
      </c>
      <c r="J108" s="42" t="e">
        <f t="shared" si="9"/>
        <v>#VALUE!</v>
      </c>
      <c r="K108" s="42" t="e">
        <f t="shared" si="9"/>
        <v>#VALUE!</v>
      </c>
      <c r="L108" s="42" t="e">
        <f t="shared" si="9"/>
        <v>#VALUE!</v>
      </c>
      <c r="M108" s="42" t="e">
        <f t="shared" si="9"/>
        <v>#VALUE!</v>
      </c>
      <c r="O108" s="17" t="str">
        <f>IF((COUNTIF(J100:J108,"yes")+COUNTIF(L100:L108,"yes"))&gt;=(COUNTIF(J100:J108,"no")+COUNTIF(L100:L108,"no")),"yes","no")</f>
        <v>yes</v>
      </c>
      <c r="P108" s="17" t="str">
        <f>IF((COUNTIF(K100:K108,"yes")+COUNTIF(M100:M108,"yes"))&gt;=(COUNTIF(K100:K108,"no")+COUNTIF(M100:M108,"no")),"yes","no")</f>
        <v>yes</v>
      </c>
    </row>
    <row r="109" spans="2:16" x14ac:dyDescent="0.3">
      <c r="C109" s="20"/>
      <c r="D109" s="96"/>
      <c r="E109" s="55"/>
      <c r="F109" s="55"/>
      <c r="G109" s="55"/>
      <c r="H109" s="55"/>
      <c r="J109" s="26"/>
    </row>
    <row r="110" spans="2:16" x14ac:dyDescent="0.3">
      <c r="C110" s="51" t="s">
        <v>521</v>
      </c>
      <c r="D110" s="84"/>
      <c r="E110" s="90"/>
      <c r="F110" s="90"/>
      <c r="G110" s="90"/>
      <c r="H110" s="90"/>
      <c r="J110" s="20" t="s">
        <v>520</v>
      </c>
    </row>
    <row r="111" spans="2:16" x14ac:dyDescent="0.3">
      <c r="C111" s="20" t="s">
        <v>14</v>
      </c>
      <c r="D111" s="84" t="s">
        <v>512</v>
      </c>
      <c r="E111" s="42" t="e">
        <f t="shared" ref="E111:H119" si="10">(E$64)/(E85-E$69)</f>
        <v>#VALUE!</v>
      </c>
      <c r="F111" s="42" t="e">
        <f t="shared" si="10"/>
        <v>#VALUE!</v>
      </c>
      <c r="G111" s="42" t="e">
        <f t="shared" si="10"/>
        <v>#VALUE!</v>
      </c>
      <c r="H111" s="42" t="e">
        <f t="shared" si="10"/>
        <v>#VALUE!</v>
      </c>
      <c r="J111" s="42" t="e">
        <f t="shared" ref="J111:M119" si="11">IF(E111&lt;E$71,"yes","no")</f>
        <v>#VALUE!</v>
      </c>
      <c r="K111" s="42" t="e">
        <f t="shared" si="11"/>
        <v>#VALUE!</v>
      </c>
      <c r="L111" s="42" t="e">
        <f t="shared" si="11"/>
        <v>#VALUE!</v>
      </c>
      <c r="M111" s="42" t="e">
        <f t="shared" si="11"/>
        <v>#VALUE!</v>
      </c>
    </row>
    <row r="112" spans="2:16" x14ac:dyDescent="0.3">
      <c r="C112" s="14" t="s">
        <v>15</v>
      </c>
      <c r="D112" s="84" t="s">
        <v>512</v>
      </c>
      <c r="E112" s="42" t="e">
        <f t="shared" si="10"/>
        <v>#VALUE!</v>
      </c>
      <c r="F112" s="42" t="e">
        <f t="shared" si="10"/>
        <v>#VALUE!</v>
      </c>
      <c r="G112" s="42" t="e">
        <f t="shared" si="10"/>
        <v>#VALUE!</v>
      </c>
      <c r="H112" s="42" t="e">
        <f t="shared" si="10"/>
        <v>#VALUE!</v>
      </c>
      <c r="J112" s="42" t="e">
        <f t="shared" si="11"/>
        <v>#VALUE!</v>
      </c>
      <c r="K112" s="42" t="e">
        <f t="shared" si="11"/>
        <v>#VALUE!</v>
      </c>
      <c r="L112" s="42" t="e">
        <f t="shared" si="11"/>
        <v>#VALUE!</v>
      </c>
      <c r="M112" s="42" t="e">
        <f t="shared" si="11"/>
        <v>#VALUE!</v>
      </c>
    </row>
    <row r="113" spans="3:40" x14ac:dyDescent="0.3">
      <c r="C113" s="15" t="s">
        <v>16</v>
      </c>
      <c r="D113" s="84" t="s">
        <v>512</v>
      </c>
      <c r="E113" s="42" t="e">
        <f t="shared" si="10"/>
        <v>#VALUE!</v>
      </c>
      <c r="F113" s="42" t="e">
        <f t="shared" si="10"/>
        <v>#VALUE!</v>
      </c>
      <c r="G113" s="42" t="e">
        <f t="shared" si="10"/>
        <v>#VALUE!</v>
      </c>
      <c r="H113" s="42" t="e">
        <f t="shared" si="10"/>
        <v>#VALUE!</v>
      </c>
      <c r="J113" s="42" t="e">
        <f t="shared" si="11"/>
        <v>#VALUE!</v>
      </c>
      <c r="K113" s="42" t="e">
        <f t="shared" si="11"/>
        <v>#VALUE!</v>
      </c>
      <c r="L113" s="42" t="e">
        <f t="shared" si="11"/>
        <v>#VALUE!</v>
      </c>
      <c r="M113" s="42" t="e">
        <f t="shared" si="11"/>
        <v>#VALUE!</v>
      </c>
    </row>
    <row r="114" spans="3:40" x14ac:dyDescent="0.3">
      <c r="C114" s="15" t="s">
        <v>17</v>
      </c>
      <c r="D114" s="84" t="s">
        <v>512</v>
      </c>
      <c r="E114" s="42" t="e">
        <f t="shared" si="10"/>
        <v>#VALUE!</v>
      </c>
      <c r="F114" s="42" t="e">
        <f t="shared" si="10"/>
        <v>#VALUE!</v>
      </c>
      <c r="G114" s="42" t="e">
        <f t="shared" si="10"/>
        <v>#VALUE!</v>
      </c>
      <c r="H114" s="42" t="e">
        <f t="shared" si="10"/>
        <v>#VALUE!</v>
      </c>
      <c r="J114" s="42" t="e">
        <f t="shared" si="11"/>
        <v>#VALUE!</v>
      </c>
      <c r="K114" s="42" t="e">
        <f t="shared" si="11"/>
        <v>#VALUE!</v>
      </c>
      <c r="L114" s="42" t="e">
        <f t="shared" si="11"/>
        <v>#VALUE!</v>
      </c>
      <c r="M114" s="42" t="e">
        <f t="shared" si="11"/>
        <v>#VALUE!</v>
      </c>
    </row>
    <row r="115" spans="3:40" x14ac:dyDescent="0.3">
      <c r="C115" s="15" t="s">
        <v>18</v>
      </c>
      <c r="D115" s="84" t="s">
        <v>512</v>
      </c>
      <c r="E115" s="42" t="e">
        <f t="shared" si="10"/>
        <v>#VALUE!</v>
      </c>
      <c r="F115" s="42" t="e">
        <f t="shared" si="10"/>
        <v>#VALUE!</v>
      </c>
      <c r="G115" s="42" t="e">
        <f t="shared" si="10"/>
        <v>#VALUE!</v>
      </c>
      <c r="H115" s="42" t="e">
        <f t="shared" si="10"/>
        <v>#VALUE!</v>
      </c>
      <c r="J115" s="42" t="e">
        <f t="shared" si="11"/>
        <v>#VALUE!</v>
      </c>
      <c r="K115" s="42" t="e">
        <f t="shared" si="11"/>
        <v>#VALUE!</v>
      </c>
      <c r="L115" s="42" t="e">
        <f t="shared" si="11"/>
        <v>#VALUE!</v>
      </c>
      <c r="M115" s="42" t="e">
        <f t="shared" si="11"/>
        <v>#VALUE!</v>
      </c>
    </row>
    <row r="116" spans="3:40" x14ac:dyDescent="0.3">
      <c r="C116" s="15" t="s">
        <v>19</v>
      </c>
      <c r="D116" s="84" t="s">
        <v>512</v>
      </c>
      <c r="E116" s="42" t="e">
        <f t="shared" si="10"/>
        <v>#VALUE!</v>
      </c>
      <c r="F116" s="42" t="e">
        <f t="shared" si="10"/>
        <v>#VALUE!</v>
      </c>
      <c r="G116" s="42" t="e">
        <f t="shared" si="10"/>
        <v>#VALUE!</v>
      </c>
      <c r="H116" s="42" t="e">
        <f t="shared" si="10"/>
        <v>#VALUE!</v>
      </c>
      <c r="J116" s="42" t="e">
        <f t="shared" si="11"/>
        <v>#VALUE!</v>
      </c>
      <c r="K116" s="42" t="e">
        <f t="shared" si="11"/>
        <v>#VALUE!</v>
      </c>
      <c r="L116" s="42" t="e">
        <f t="shared" si="11"/>
        <v>#VALUE!</v>
      </c>
      <c r="M116" s="42" t="e">
        <f t="shared" si="11"/>
        <v>#VALUE!</v>
      </c>
    </row>
    <row r="117" spans="3:40" ht="15.95" customHeight="1" x14ac:dyDescent="0.3">
      <c r="C117" s="14" t="s">
        <v>20</v>
      </c>
      <c r="D117" s="84" t="s">
        <v>512</v>
      </c>
      <c r="E117" s="42" t="e">
        <f t="shared" si="10"/>
        <v>#VALUE!</v>
      </c>
      <c r="F117" s="42" t="e">
        <f t="shared" si="10"/>
        <v>#VALUE!</v>
      </c>
      <c r="G117" s="42" t="e">
        <f t="shared" si="10"/>
        <v>#VALUE!</v>
      </c>
      <c r="H117" s="42" t="e">
        <f t="shared" si="10"/>
        <v>#VALUE!</v>
      </c>
      <c r="J117" s="42" t="e">
        <f t="shared" si="11"/>
        <v>#VALUE!</v>
      </c>
      <c r="K117" s="42" t="e">
        <f t="shared" si="11"/>
        <v>#VALUE!</v>
      </c>
      <c r="L117" s="42" t="e">
        <f t="shared" si="11"/>
        <v>#VALUE!</v>
      </c>
      <c r="M117" s="42" t="e">
        <f t="shared" si="11"/>
        <v>#VALUE!</v>
      </c>
    </row>
    <row r="118" spans="3:40" ht="15.95" customHeight="1" x14ac:dyDescent="0.3">
      <c r="C118" s="14" t="s">
        <v>21</v>
      </c>
      <c r="D118" s="84" t="s">
        <v>512</v>
      </c>
      <c r="E118" s="42" t="e">
        <f t="shared" si="10"/>
        <v>#VALUE!</v>
      </c>
      <c r="F118" s="42" t="e">
        <f t="shared" si="10"/>
        <v>#VALUE!</v>
      </c>
      <c r="G118" s="42" t="e">
        <f t="shared" si="10"/>
        <v>#VALUE!</v>
      </c>
      <c r="H118" s="42" t="e">
        <f t="shared" si="10"/>
        <v>#VALUE!</v>
      </c>
      <c r="J118" s="42" t="e">
        <f t="shared" si="11"/>
        <v>#VALUE!</v>
      </c>
      <c r="K118" s="42" t="e">
        <f t="shared" si="11"/>
        <v>#VALUE!</v>
      </c>
      <c r="L118" s="42" t="e">
        <f t="shared" si="11"/>
        <v>#VALUE!</v>
      </c>
      <c r="M118" s="42" t="e">
        <f t="shared" si="11"/>
        <v>#VALUE!</v>
      </c>
    </row>
    <row r="119" spans="3:40" x14ac:dyDescent="0.3">
      <c r="C119" s="14" t="s">
        <v>22</v>
      </c>
      <c r="D119" s="84" t="s">
        <v>512</v>
      </c>
      <c r="E119" s="42" t="e">
        <f t="shared" si="10"/>
        <v>#VALUE!</v>
      </c>
      <c r="F119" s="42" t="e">
        <f t="shared" si="10"/>
        <v>#VALUE!</v>
      </c>
      <c r="G119" s="42" t="e">
        <f t="shared" si="10"/>
        <v>#VALUE!</v>
      </c>
      <c r="H119" s="42" t="e">
        <f t="shared" si="10"/>
        <v>#VALUE!</v>
      </c>
      <c r="J119" s="42" t="e">
        <f t="shared" si="11"/>
        <v>#VALUE!</v>
      </c>
      <c r="K119" s="42" t="e">
        <f t="shared" si="11"/>
        <v>#VALUE!</v>
      </c>
      <c r="L119" s="42" t="e">
        <f t="shared" si="11"/>
        <v>#VALUE!</v>
      </c>
      <c r="M119" s="42" t="e">
        <f t="shared" si="11"/>
        <v>#VALUE!</v>
      </c>
    </row>
    <row r="121" spans="3:40" x14ac:dyDescent="0.3">
      <c r="C121" s="51" t="s">
        <v>522</v>
      </c>
      <c r="D121" s="84"/>
      <c r="E121" s="90"/>
      <c r="F121" s="90"/>
      <c r="G121" s="90"/>
      <c r="H121" s="90"/>
      <c r="J121" s="51" t="s">
        <v>523</v>
      </c>
      <c r="R121" s="51" t="s">
        <v>524</v>
      </c>
      <c r="Z121" s="51" t="s">
        <v>525</v>
      </c>
      <c r="AH121" s="51" t="s">
        <v>526</v>
      </c>
    </row>
    <row r="122" spans="3:40" ht="29.25" x14ac:dyDescent="0.3">
      <c r="C122" s="20" t="s">
        <v>14</v>
      </c>
      <c r="D122" s="84" t="s">
        <v>527</v>
      </c>
      <c r="E122" s="97" t="e">
        <f>E23*'Model homes'!$J110*10^-6</f>
        <v>#VALUE!</v>
      </c>
      <c r="F122" s="97" t="e">
        <f>F23*'Model homes'!$J110*10^-6</f>
        <v>#VALUE!</v>
      </c>
      <c r="G122" s="97" t="e">
        <f>G23*'Model homes'!$J110*10^-6</f>
        <v>#VALUE!</v>
      </c>
      <c r="H122" s="97" t="e">
        <f>H23*'Model homes'!$J110*10^-6</f>
        <v>#VALUE!</v>
      </c>
      <c r="J122" s="209" t="s">
        <v>14</v>
      </c>
      <c r="L122" s="207" t="s">
        <v>528</v>
      </c>
      <c r="M122" s="130" t="e">
        <f>'Model homes'!$E274*E23*10^-6</f>
        <v>#DIV/0!</v>
      </c>
      <c r="N122" s="130" t="e">
        <f>'Model homes'!$E274*F23*10^-6</f>
        <v>#DIV/0!</v>
      </c>
      <c r="O122" s="130" t="e">
        <f>'Model homes'!$E274*G23*10^-6</f>
        <v>#DIV/0!</v>
      </c>
      <c r="P122" s="130" t="e">
        <f>'Model homes'!$E274*H23*10^-6</f>
        <v>#DIV/0!</v>
      </c>
      <c r="R122" s="209" t="s">
        <v>14</v>
      </c>
      <c r="T122" s="207" t="s">
        <v>529</v>
      </c>
      <c r="U122" s="130" t="e">
        <f>'Model homes'!$F274*E23*10^-6</f>
        <v>#DIV/0!</v>
      </c>
      <c r="V122" s="130" t="e">
        <f>'Model homes'!$F274*F23*10^-6</f>
        <v>#DIV/0!</v>
      </c>
      <c r="W122" s="130" t="e">
        <f>'Model homes'!$F274*G23*10^-6</f>
        <v>#DIV/0!</v>
      </c>
      <c r="X122" s="130" t="e">
        <f>'Model homes'!$F274*H23*10^-6</f>
        <v>#DIV/0!</v>
      </c>
      <c r="Z122" s="209" t="s">
        <v>14</v>
      </c>
      <c r="AB122" s="207" t="s">
        <v>530</v>
      </c>
      <c r="AC122" s="130" t="e">
        <f>'Model homes'!$G274*E33*10^-6</f>
        <v>#DIV/0!</v>
      </c>
      <c r="AD122" s="130" t="e">
        <f>'Model homes'!$G274*F33*10^-6</f>
        <v>#DIV/0!</v>
      </c>
      <c r="AE122" s="130" t="e">
        <f>'Model homes'!$G274*G33*10^-6</f>
        <v>#DIV/0!</v>
      </c>
      <c r="AF122" s="130" t="e">
        <f>'Model homes'!$G274*H33*10^-6</f>
        <v>#DIV/0!</v>
      </c>
      <c r="AH122" s="209" t="s">
        <v>14</v>
      </c>
      <c r="AJ122" s="207" t="s">
        <v>531</v>
      </c>
      <c r="AK122" s="130" t="e">
        <f>'Model homes'!$H274*E33*10^-6</f>
        <v>#DIV/0!</v>
      </c>
      <c r="AL122" s="130" t="e">
        <f>'Model homes'!$H274*F33*10^-6</f>
        <v>#DIV/0!</v>
      </c>
      <c r="AM122" s="130" t="e">
        <f>'Model homes'!$H274*G33*10^-6</f>
        <v>#DIV/0!</v>
      </c>
      <c r="AN122" s="130" t="e">
        <f>'Model homes'!$H274*H33*10^-6</f>
        <v>#DIV/0!</v>
      </c>
    </row>
    <row r="123" spans="3:40" ht="29.25" x14ac:dyDescent="0.3">
      <c r="C123" s="14" t="s">
        <v>15</v>
      </c>
      <c r="D123" s="84" t="s">
        <v>527</v>
      </c>
      <c r="E123" s="97">
        <f>E24*'Model homes'!$J111*10^-6</f>
        <v>0</v>
      </c>
      <c r="F123" s="97">
        <f>F24*'Model homes'!$J111*10^-6</f>
        <v>0</v>
      </c>
      <c r="G123" s="97">
        <f>G24*'Model homes'!$J111*10^-6</f>
        <v>0</v>
      </c>
      <c r="H123" s="97">
        <f>H24*'Model homes'!$J111*10^-6</f>
        <v>0</v>
      </c>
      <c r="J123" s="213" t="s">
        <v>15</v>
      </c>
      <c r="L123" s="207" t="s">
        <v>528</v>
      </c>
      <c r="M123" s="130">
        <f>'Model homes'!$E275*E24*10^-6</f>
        <v>1.0024478632478629E-5</v>
      </c>
      <c r="N123" s="130">
        <f>'Model homes'!$E275*F24*10^-6</f>
        <v>3.5840000000000003E-6</v>
      </c>
      <c r="O123" s="130">
        <f>'Model homes'!$E275*G24*10^-6</f>
        <v>9.624292331446215E-6</v>
      </c>
      <c r="P123" s="130">
        <f>'Model homes'!$E275*H24*10^-6</f>
        <v>3.0053571428571434E-6</v>
      </c>
      <c r="R123" s="213" t="s">
        <v>15</v>
      </c>
      <c r="T123" s="207" t="s">
        <v>529</v>
      </c>
      <c r="U123" s="130">
        <f>'Model homes'!$F275*E24*10^-6</f>
        <v>1.5537941880341876E-4</v>
      </c>
      <c r="V123" s="130">
        <f>'Model homes'!$F275*F24*10^-6</f>
        <v>5.5552000000000006E-5</v>
      </c>
      <c r="W123" s="130">
        <f>'Model homes'!$F275*G24*10^-6</f>
        <v>1.4917653113741633E-4</v>
      </c>
      <c r="X123" s="130">
        <f>'Model homes'!$F275*H24*10^-6</f>
        <v>4.658303571428572E-5</v>
      </c>
      <c r="Z123" s="213" t="s">
        <v>15</v>
      </c>
      <c r="AB123" s="207" t="s">
        <v>530</v>
      </c>
      <c r="AC123" s="130">
        <f>'Model homes'!$G275*E34*10^-6</f>
        <v>1.0110896551724139E-9</v>
      </c>
      <c r="AD123" s="130">
        <f>'Model homes'!$G275*F34*10^-6</f>
        <v>1.0662400000000002E-9</v>
      </c>
      <c r="AE123" s="130">
        <f>'Model homes'!$G275*G34*10^-6</f>
        <v>2.7557894736842106E-10</v>
      </c>
      <c r="AF123" s="130">
        <f>'Model homes'!$G275*H34*10^-6</f>
        <v>2.0944000000000008E-10</v>
      </c>
      <c r="AH123" s="213" t="s">
        <v>15</v>
      </c>
      <c r="AJ123" s="207" t="s">
        <v>531</v>
      </c>
      <c r="AK123" s="130">
        <f>'Model homes'!$H275*E34*10^-6</f>
        <v>1.444413793103448E-10</v>
      </c>
      <c r="AL123" s="130">
        <f>'Model homes'!$H275*F34*10^-6</f>
        <v>1.5232000000000002E-10</v>
      </c>
      <c r="AM123" s="130">
        <f>'Model homes'!$H275*G34*10^-6</f>
        <v>3.9368421052631572E-11</v>
      </c>
      <c r="AN123" s="130">
        <f>'Model homes'!$H275*H34*10^-6</f>
        <v>2.9920000000000005E-11</v>
      </c>
    </row>
    <row r="124" spans="3:40" ht="29.25" x14ac:dyDescent="0.3">
      <c r="C124" s="15" t="s">
        <v>16</v>
      </c>
      <c r="D124" s="84" t="s">
        <v>527</v>
      </c>
      <c r="E124" s="97">
        <f>E25*'Model homes'!$J112*10^-6</f>
        <v>0</v>
      </c>
      <c r="F124" s="97">
        <f>F25*'Model homes'!$J112*10^-6</f>
        <v>0</v>
      </c>
      <c r="G124" s="97">
        <f>G25*'Model homes'!$J112*10^-6</f>
        <v>0</v>
      </c>
      <c r="H124" s="97">
        <f>H25*'Model homes'!$J112*10^-6</f>
        <v>0</v>
      </c>
      <c r="J124" s="210" t="s">
        <v>16</v>
      </c>
      <c r="L124" s="207" t="s">
        <v>528</v>
      </c>
      <c r="M124" s="130">
        <f>'Model homes'!$E276*E25*10^-6</f>
        <v>8.1448888888888866E-6</v>
      </c>
      <c r="N124" s="130">
        <f>'Model homes'!$E276*F25*10^-6</f>
        <v>2.9866666666666667E-6</v>
      </c>
      <c r="O124" s="130">
        <f>'Model homes'!$E276*G25*10^-6</f>
        <v>7.8637510513036168E-6</v>
      </c>
      <c r="P124" s="130">
        <f>'Model homes'!$E276*H25*10^-6</f>
        <v>2.5044642857142858E-6</v>
      </c>
      <c r="R124" s="210" t="s">
        <v>16</v>
      </c>
      <c r="T124" s="207" t="s">
        <v>529</v>
      </c>
      <c r="U124" s="130">
        <f>'Model homes'!$F276*E25*10^-6</f>
        <v>1.2624577777777774E-4</v>
      </c>
      <c r="V124" s="130">
        <f>'Model homes'!$F276*F25*10^-6</f>
        <v>4.6293333333333333E-5</v>
      </c>
      <c r="W124" s="130">
        <f>'Model homes'!$F276*G25*10^-6</f>
        <v>1.2188814129520607E-4</v>
      </c>
      <c r="X124" s="130">
        <f>'Model homes'!$F276*H25*10^-6</f>
        <v>3.8819196428571436E-5</v>
      </c>
      <c r="Z124" s="210" t="s">
        <v>16</v>
      </c>
      <c r="AB124" s="207" t="s">
        <v>530</v>
      </c>
      <c r="AC124" s="130">
        <f>'Model homes'!$G276*E35*10^-6</f>
        <v>1.0110896551724139E-9</v>
      </c>
      <c r="AD124" s="130">
        <f>'Model homes'!$G276*F35*10^-6</f>
        <v>1.0662400000000002E-9</v>
      </c>
      <c r="AE124" s="130">
        <f>'Model homes'!$G276*G35*10^-6</f>
        <v>2.7557894736842101E-10</v>
      </c>
      <c r="AF124" s="130">
        <f>'Model homes'!$G276*H35*10^-6</f>
        <v>2.0944000000000008E-10</v>
      </c>
      <c r="AH124" s="210" t="s">
        <v>16</v>
      </c>
      <c r="AJ124" s="207" t="s">
        <v>531</v>
      </c>
      <c r="AK124" s="130">
        <f>'Model homes'!$H276*E35*10^-6</f>
        <v>1.444413793103448E-10</v>
      </c>
      <c r="AL124" s="130">
        <f>'Model homes'!$H276*F35*10^-6</f>
        <v>1.5232000000000002E-10</v>
      </c>
      <c r="AM124" s="130">
        <f>'Model homes'!$H276*G35*10^-6</f>
        <v>3.9368421052631565E-11</v>
      </c>
      <c r="AN124" s="130">
        <f>'Model homes'!$H276*H35*10^-6</f>
        <v>2.9920000000000005E-11</v>
      </c>
    </row>
    <row r="125" spans="3:40" ht="29.25" x14ac:dyDescent="0.3">
      <c r="C125" s="15" t="s">
        <v>17</v>
      </c>
      <c r="D125" s="84" t="s">
        <v>527</v>
      </c>
      <c r="E125" s="97">
        <f>E26*'Model homes'!$J113*10^-6</f>
        <v>0.18765823999999995</v>
      </c>
      <c r="F125" s="97">
        <f>F26*'Model homes'!$J113*10^-6</f>
        <v>6.709248000000001E-2</v>
      </c>
      <c r="G125" s="97">
        <f>G26*'Model homes'!$J113*10^-6</f>
        <v>0.18571034482758619</v>
      </c>
      <c r="H125" s="97">
        <f>H26*'Model homes'!$J113*10^-6</f>
        <v>5.6260285714285728E-2</v>
      </c>
      <c r="J125" s="210" t="s">
        <v>17</v>
      </c>
      <c r="L125" s="207" t="s">
        <v>528</v>
      </c>
      <c r="M125" s="130">
        <f>'Model homes'!$E277*E26*10^-6</f>
        <v>9.5232547008546978E-5</v>
      </c>
      <c r="N125" s="130">
        <f>'Model homes'!$E277*F26*10^-6</f>
        <v>3.4048000000000003E-5</v>
      </c>
      <c r="O125" s="130">
        <f>'Model homes'!$E277*G26*10^-6</f>
        <v>9.4244031830238709E-5</v>
      </c>
      <c r="P125" s="130">
        <f>'Model homes'!$E277*H26*10^-6</f>
        <v>2.8550892857142861E-5</v>
      </c>
      <c r="R125" s="210" t="s">
        <v>17</v>
      </c>
      <c r="T125" s="207" t="s">
        <v>529</v>
      </c>
      <c r="U125" s="130">
        <f>'Model homes'!$F277*E26*10^-6</f>
        <v>1.4034270085470083E-4</v>
      </c>
      <c r="V125" s="130">
        <f>'Model homes'!$F277*F26*10^-6</f>
        <v>5.0176000000000009E-5</v>
      </c>
      <c r="W125" s="130">
        <f>'Model homes'!$F277*G26*10^-6</f>
        <v>1.3888594164456234E-4</v>
      </c>
      <c r="X125" s="130">
        <f>'Model homes'!$F277*H26*10^-6</f>
        <v>4.2075000000000006E-5</v>
      </c>
      <c r="Z125" s="210" t="s">
        <v>17</v>
      </c>
      <c r="AB125" s="207" t="s">
        <v>530</v>
      </c>
      <c r="AC125" s="130">
        <f>'Model homes'!$G277*E36*10^-6</f>
        <v>1.444413793103448E-10</v>
      </c>
      <c r="AD125" s="130">
        <f>'Model homes'!$G277*F36*10^-6</f>
        <v>1.5232000000000002E-10</v>
      </c>
      <c r="AE125" s="130">
        <f>'Model homes'!$G277*G36*10^-6</f>
        <v>3.9368421052631572E-11</v>
      </c>
      <c r="AF125" s="130">
        <f>'Model homes'!$G277*H36*10^-6</f>
        <v>2.9920000000000005E-11</v>
      </c>
      <c r="AH125" s="210" t="s">
        <v>17</v>
      </c>
      <c r="AJ125" s="207" t="s">
        <v>531</v>
      </c>
      <c r="AK125" s="130">
        <f>'Model homes'!$H277*E36*10^-6</f>
        <v>1.444413793103448E-10</v>
      </c>
      <c r="AL125" s="130">
        <f>'Model homes'!$H277*F36*10^-6</f>
        <v>1.5232000000000002E-10</v>
      </c>
      <c r="AM125" s="130">
        <f>'Model homes'!$H277*G36*10^-6</f>
        <v>3.9368421052631572E-11</v>
      </c>
      <c r="AN125" s="130">
        <f>'Model homes'!$H277*H36*10^-6</f>
        <v>2.9920000000000005E-11</v>
      </c>
    </row>
    <row r="126" spans="3:40" ht="29.25" x14ac:dyDescent="0.3">
      <c r="C126" s="15" t="s">
        <v>18</v>
      </c>
      <c r="D126" s="84" t="s">
        <v>527</v>
      </c>
      <c r="E126" s="97">
        <f>E27*'Model homes'!$J114*10^-6</f>
        <v>9.3829119999999974E-2</v>
      </c>
      <c r="F126" s="97">
        <f>F27*'Model homes'!$J114*10^-6</f>
        <v>3.4001618823529409E-2</v>
      </c>
      <c r="G126" s="97">
        <f>G27*'Model homes'!$J114*10^-6</f>
        <v>9.2855172413793083E-2</v>
      </c>
      <c r="H126" s="97">
        <f>H27*'Model homes'!$J114*10^-6</f>
        <v>2.8512000000000003E-2</v>
      </c>
      <c r="J126" s="210" t="s">
        <v>18</v>
      </c>
      <c r="L126" s="207" t="s">
        <v>528</v>
      </c>
      <c r="M126" s="130">
        <f>'Model homes'!$E278*E27*10^-6</f>
        <v>7.3303999999999988E-5</v>
      </c>
      <c r="N126" s="130">
        <f>'Model homes'!$E278*F27*10^-6</f>
        <v>2.6563764705882346E-5</v>
      </c>
      <c r="O126" s="130">
        <f>'Model homes'!$E278*G27*10^-6</f>
        <v>7.2543103448275838E-5</v>
      </c>
      <c r="P126" s="130">
        <f>'Model homes'!$E278*H27*10^-6</f>
        <v>2.2275000000000003E-5</v>
      </c>
      <c r="R126" s="210" t="s">
        <v>18</v>
      </c>
      <c r="T126" s="207" t="s">
        <v>529</v>
      </c>
      <c r="U126" s="130">
        <f>'Model homes'!$F278*E27*10^-6</f>
        <v>2.85071111111111E-4</v>
      </c>
      <c r="V126" s="130">
        <f>'Model homes'!$F278*F27*10^-6</f>
        <v>1.0330352941176468E-4</v>
      </c>
      <c r="W126" s="130">
        <f>'Model homes'!$F278*G27*10^-6</f>
        <v>2.8211206896551721E-4</v>
      </c>
      <c r="X126" s="130">
        <f>'Model homes'!$F278*H27*10^-6</f>
        <v>8.6624999999999991E-5</v>
      </c>
      <c r="Z126" s="210" t="s">
        <v>18</v>
      </c>
      <c r="AB126" s="207" t="s">
        <v>530</v>
      </c>
      <c r="AC126" s="130">
        <f>'Model homes'!$G278*E37*10^-6</f>
        <v>1.444413793103448E-10</v>
      </c>
      <c r="AD126" s="130">
        <f>'Model homes'!$G278*F37*10^-6</f>
        <v>1.5232000000000002E-10</v>
      </c>
      <c r="AE126" s="130">
        <f>'Model homes'!$G278*G37*10^-6</f>
        <v>3.9368421052631565E-11</v>
      </c>
      <c r="AF126" s="130">
        <f>'Model homes'!$G278*H37*10^-6</f>
        <v>2.9920000000000005E-11</v>
      </c>
      <c r="AH126" s="210" t="s">
        <v>18</v>
      </c>
      <c r="AJ126" s="207" t="s">
        <v>531</v>
      </c>
      <c r="AK126" s="130">
        <f>'Model homes'!$H278*E37*10^-6</f>
        <v>1.444413793103448E-10</v>
      </c>
      <c r="AL126" s="130">
        <f>'Model homes'!$H278*F37*10^-6</f>
        <v>1.5232000000000002E-10</v>
      </c>
      <c r="AM126" s="130">
        <f>'Model homes'!$H278*G37*10^-6</f>
        <v>3.9368421052631565E-11</v>
      </c>
      <c r="AN126" s="130">
        <f>'Model homes'!$H278*H37*10^-6</f>
        <v>2.9920000000000005E-11</v>
      </c>
    </row>
    <row r="127" spans="3:40" ht="29.25" x14ac:dyDescent="0.3">
      <c r="C127" s="15" t="s">
        <v>19</v>
      </c>
      <c r="D127" s="84" t="s">
        <v>527</v>
      </c>
      <c r="E127" s="97">
        <f>E28*'Model homes'!$J115*10^-6</f>
        <v>0.11435423999999997</v>
      </c>
      <c r="F127" s="97">
        <f>F28*'Model homes'!$J115*10^-6</f>
        <v>4.0957618604651164E-2</v>
      </c>
      <c r="G127" s="97">
        <f>G28*'Model homes'!$J115*10^-6</f>
        <v>0.11316724137931033</v>
      </c>
      <c r="H127" s="97">
        <f>H28*'Model homes'!$J115*10^-6</f>
        <v>3.434494186046512E-2</v>
      </c>
      <c r="J127" s="210" t="s">
        <v>19</v>
      </c>
      <c r="L127" s="207" t="s">
        <v>528</v>
      </c>
      <c r="M127" s="130">
        <f>'Model homes'!$E279*E28*10^-6</f>
        <v>7.3303999999999988E-5</v>
      </c>
      <c r="N127" s="130">
        <f>'Model homes'!$E279*F28*10^-6</f>
        <v>2.6254883720930228E-5</v>
      </c>
      <c r="O127" s="130">
        <f>'Model homes'!$E279*G28*10^-6</f>
        <v>7.2543103448275838E-5</v>
      </c>
      <c r="P127" s="130">
        <f>'Model homes'!$E279*H28*10^-6</f>
        <v>2.2015988372093027E-5</v>
      </c>
      <c r="R127" s="210" t="s">
        <v>19</v>
      </c>
      <c r="T127" s="207" t="s">
        <v>529</v>
      </c>
      <c r="U127" s="130">
        <f>'Model homes'!$F279*E28*10^-6</f>
        <v>2.85071111111111E-4</v>
      </c>
      <c r="V127" s="130">
        <f>'Model homes'!$F279*F28*10^-6</f>
        <v>1.0210232558139535E-4</v>
      </c>
      <c r="W127" s="130">
        <f>'Model homes'!$F279*G28*10^-6</f>
        <v>2.8211206896551721E-4</v>
      </c>
      <c r="X127" s="130">
        <f>'Model homes'!$F279*H28*10^-6</f>
        <v>8.5617732558139533E-5</v>
      </c>
      <c r="Z127" s="210" t="s">
        <v>19</v>
      </c>
      <c r="AB127" s="207" t="s">
        <v>530</v>
      </c>
      <c r="AC127" s="130">
        <f>'Model homes'!$G279*E38*10^-6</f>
        <v>1.444413793103448E-10</v>
      </c>
      <c r="AD127" s="130">
        <f>'Model homes'!$G279*F38*10^-6</f>
        <v>1.5232E-10</v>
      </c>
      <c r="AE127" s="130">
        <f>'Model homes'!$G279*G38*10^-6</f>
        <v>3.9368421052631572E-11</v>
      </c>
      <c r="AF127" s="130">
        <f>'Model homes'!$G279*H38*10^-6</f>
        <v>2.9919999999999999E-11</v>
      </c>
      <c r="AH127" s="210" t="s">
        <v>19</v>
      </c>
      <c r="AJ127" s="207" t="s">
        <v>531</v>
      </c>
      <c r="AK127" s="130">
        <f>'Model homes'!$H279*E38*10^-6</f>
        <v>1.444413793103448E-10</v>
      </c>
      <c r="AL127" s="130">
        <f>'Model homes'!$H279*F38*10^-6</f>
        <v>1.5232E-10</v>
      </c>
      <c r="AM127" s="130">
        <f>'Model homes'!$H279*G38*10^-6</f>
        <v>3.9368421052631572E-11</v>
      </c>
      <c r="AN127" s="130">
        <f>'Model homes'!$H279*H38*10^-6</f>
        <v>2.9919999999999999E-11</v>
      </c>
    </row>
    <row r="128" spans="3:40" ht="15.95" customHeight="1" x14ac:dyDescent="0.3">
      <c r="C128" s="14" t="s">
        <v>20</v>
      </c>
      <c r="D128" s="84" t="s">
        <v>527</v>
      </c>
      <c r="E128" s="97">
        <f>E29*'Model homes'!$J116*10^-6</f>
        <v>7.6719103999999982E-2</v>
      </c>
      <c r="F128" s="97">
        <f>F29*'Model homes'!$J116*10^-6</f>
        <v>2.8859851034482756E-2</v>
      </c>
      <c r="G128" s="97">
        <f>G29*'Model homes'!$J116*10^-6</f>
        <v>7.4177407847800234E-2</v>
      </c>
      <c r="H128" s="97">
        <f>H29*'Model homes'!$J116*10^-6</f>
        <v>2.4200379310344827E-2</v>
      </c>
      <c r="J128" s="213" t="s">
        <v>20</v>
      </c>
      <c r="L128" s="207" t="s">
        <v>528</v>
      </c>
      <c r="M128" s="130">
        <f>'Model homes'!$E280*E29*10^-6</f>
        <v>0</v>
      </c>
      <c r="N128" s="130">
        <f>'Model homes'!$E280*F29*10^-6</f>
        <v>0</v>
      </c>
      <c r="O128" s="130">
        <f>'Model homes'!$E280*G29*10^-6</f>
        <v>0</v>
      </c>
      <c r="P128" s="130">
        <f>'Model homes'!$E280*H29*10^-6</f>
        <v>0</v>
      </c>
      <c r="R128" s="213" t="s">
        <v>20</v>
      </c>
      <c r="T128" s="207" t="s">
        <v>529</v>
      </c>
      <c r="U128" s="130">
        <f>'Model homes'!$F280*E29*10^-6</f>
        <v>4.9827555555555548E-5</v>
      </c>
      <c r="V128" s="130">
        <f>'Model homes'!$F280*F29*10^-6</f>
        <v>1.874390804597701E-5</v>
      </c>
      <c r="W128" s="130">
        <f>'Model homes'!$F280*G29*10^-6</f>
        <v>4.817677368212445E-5</v>
      </c>
      <c r="X128" s="130">
        <f>'Model homes'!$F280*H29*10^-6</f>
        <v>1.5717672413793105E-5</v>
      </c>
      <c r="Z128" s="213" t="s">
        <v>20</v>
      </c>
      <c r="AB128" s="207" t="s">
        <v>530</v>
      </c>
      <c r="AC128" s="130">
        <f>'Model homes'!$G280*E39*10^-6</f>
        <v>0</v>
      </c>
      <c r="AD128" s="130">
        <f>'Model homes'!$G280*F39*10^-6</f>
        <v>0</v>
      </c>
      <c r="AE128" s="130">
        <f>'Model homes'!$G280*G39*10^-6</f>
        <v>0</v>
      </c>
      <c r="AF128" s="130">
        <f>'Model homes'!$G280*H39*10^-6</f>
        <v>0</v>
      </c>
      <c r="AH128" s="213" t="s">
        <v>20</v>
      </c>
      <c r="AJ128" s="207" t="s">
        <v>531</v>
      </c>
      <c r="AK128" s="130">
        <f>'Model homes'!$H280*E39*10^-6</f>
        <v>0</v>
      </c>
      <c r="AL128" s="130">
        <f>'Model homes'!$H280*F39*10^-6</f>
        <v>0</v>
      </c>
      <c r="AM128" s="130">
        <f>'Model homes'!$H280*G39*10^-6</f>
        <v>0</v>
      </c>
      <c r="AN128" s="130">
        <f>'Model homes'!$H280*H39*10^-6</f>
        <v>0</v>
      </c>
    </row>
    <row r="129" spans="3:40" ht="15.95" customHeight="1" x14ac:dyDescent="0.3">
      <c r="C129" s="14" t="s">
        <v>21</v>
      </c>
      <c r="D129" s="84" t="s">
        <v>527</v>
      </c>
      <c r="E129" s="97" t="e">
        <f>E30*'Model homes'!$J117*10^-6</f>
        <v>#N/A</v>
      </c>
      <c r="F129" s="97" t="e">
        <f>F30*'Model homes'!$J117*10^-6</f>
        <v>#N/A</v>
      </c>
      <c r="G129" s="97" t="e">
        <f>G30*'Model homes'!$J117*10^-6</f>
        <v>#N/A</v>
      </c>
      <c r="H129" s="97" t="e">
        <f>H30*'Model homes'!$J117*10^-6</f>
        <v>#N/A</v>
      </c>
      <c r="J129" s="213" t="s">
        <v>21</v>
      </c>
      <c r="L129" s="207" t="s">
        <v>528</v>
      </c>
      <c r="M129" s="130" t="e">
        <f>'Model homes'!$E281*E30*10^-6</f>
        <v>#DIV/0!</v>
      </c>
      <c r="N129" s="130" t="e">
        <f>'Model homes'!$E281*F30*10^-6</f>
        <v>#DIV/0!</v>
      </c>
      <c r="O129" s="130" t="e">
        <f>'Model homes'!$E281*G30*10^-6</f>
        <v>#DIV/0!</v>
      </c>
      <c r="P129" s="130" t="e">
        <f>'Model homes'!$E281*H30*10^-6</f>
        <v>#DIV/0!</v>
      </c>
      <c r="R129" s="213" t="s">
        <v>21</v>
      </c>
      <c r="T129" s="207" t="s">
        <v>529</v>
      </c>
      <c r="U129" s="130" t="e">
        <f>'Model homes'!$F281*E30*10^-6</f>
        <v>#DIV/0!</v>
      </c>
      <c r="V129" s="130" t="e">
        <f>'Model homes'!$F281*F30*10^-6</f>
        <v>#DIV/0!</v>
      </c>
      <c r="W129" s="130" t="e">
        <f>'Model homes'!$F281*G30*10^-6</f>
        <v>#DIV/0!</v>
      </c>
      <c r="X129" s="130" t="e">
        <f>'Model homes'!$F281*H30*10^-6</f>
        <v>#DIV/0!</v>
      </c>
      <c r="Z129" s="213" t="s">
        <v>21</v>
      </c>
      <c r="AB129" s="207" t="s">
        <v>530</v>
      </c>
      <c r="AC129" s="130" t="e">
        <f>'Model homes'!$G281*E40*10^-6</f>
        <v>#DIV/0!</v>
      </c>
      <c r="AD129" s="130" t="e">
        <f>'Model homes'!$G281*F40*10^-6</f>
        <v>#DIV/0!</v>
      </c>
      <c r="AE129" s="130" t="e">
        <f>'Model homes'!$G281*G40*10^-6</f>
        <v>#DIV/0!</v>
      </c>
      <c r="AF129" s="130" t="e">
        <f>'Model homes'!$G281*H40*10^-6</f>
        <v>#DIV/0!</v>
      </c>
      <c r="AH129" s="213" t="s">
        <v>21</v>
      </c>
      <c r="AJ129" s="207" t="s">
        <v>531</v>
      </c>
      <c r="AK129" s="130" t="e">
        <f>'Model homes'!$H281*E40*10^-6</f>
        <v>#DIV/0!</v>
      </c>
      <c r="AL129" s="130" t="e">
        <f>'Model homes'!$H281*F40*10^-6</f>
        <v>#DIV/0!</v>
      </c>
      <c r="AM129" s="130" t="e">
        <f>'Model homes'!$H281*G40*10^-6</f>
        <v>#DIV/0!</v>
      </c>
      <c r="AN129" s="130" t="e">
        <f>'Model homes'!$H281*H40*10^-6</f>
        <v>#DIV/0!</v>
      </c>
    </row>
    <row r="130" spans="3:40" ht="29.25" x14ac:dyDescent="0.3">
      <c r="C130" s="14" t="s">
        <v>22</v>
      </c>
      <c r="D130" s="84" t="s">
        <v>527</v>
      </c>
      <c r="E130" s="97" t="e">
        <f>E31*'Model homes'!$J118*10^-6</f>
        <v>#N/A</v>
      </c>
      <c r="F130" s="97" t="e">
        <f>F31*'Model homes'!$J118*10^-6</f>
        <v>#N/A</v>
      </c>
      <c r="G130" s="97" t="e">
        <f>G31*'Model homes'!$J118*10^-6</f>
        <v>#N/A</v>
      </c>
      <c r="H130" s="97" t="e">
        <f>H31*'Model homes'!$J118*10^-6</f>
        <v>#N/A</v>
      </c>
      <c r="J130" s="213" t="s">
        <v>22</v>
      </c>
      <c r="L130" s="207" t="s">
        <v>528</v>
      </c>
      <c r="M130" s="130" t="e">
        <f>'Model homes'!$E282*E31*10^-6</f>
        <v>#DIV/0!</v>
      </c>
      <c r="N130" s="130" t="e">
        <f>'Model homes'!$E282*F31*10^-6</f>
        <v>#DIV/0!</v>
      </c>
      <c r="O130" s="130" t="e">
        <f>'Model homes'!$E282*G31*10^-6</f>
        <v>#DIV/0!</v>
      </c>
      <c r="P130" s="130" t="e">
        <f>'Model homes'!$E282*H31*10^-6</f>
        <v>#DIV/0!</v>
      </c>
      <c r="R130" s="213" t="s">
        <v>22</v>
      </c>
      <c r="T130" s="207" t="s">
        <v>529</v>
      </c>
      <c r="U130" s="130" t="e">
        <f>'Model homes'!$F282*E31*10^-6</f>
        <v>#DIV/0!</v>
      </c>
      <c r="V130" s="130" t="e">
        <f>'Model homes'!$F282*F31*10^-6</f>
        <v>#DIV/0!</v>
      </c>
      <c r="W130" s="130" t="e">
        <f>'Model homes'!$F282*G31*10^-6</f>
        <v>#DIV/0!</v>
      </c>
      <c r="X130" s="130" t="e">
        <f>'Model homes'!$F282*H31*10^-6</f>
        <v>#DIV/0!</v>
      </c>
      <c r="Z130" s="213" t="s">
        <v>22</v>
      </c>
      <c r="AB130" s="207" t="s">
        <v>530</v>
      </c>
      <c r="AC130" s="130" t="e">
        <f>'Model homes'!$G282*E41*10^-6</f>
        <v>#DIV/0!</v>
      </c>
      <c r="AD130" s="130" t="e">
        <f>'Model homes'!$G282*F41*10^-6</f>
        <v>#DIV/0!</v>
      </c>
      <c r="AE130" s="130" t="e">
        <f>'Model homes'!$G282*G41*10^-6</f>
        <v>#DIV/0!</v>
      </c>
      <c r="AF130" s="130" t="e">
        <f>'Model homes'!$G282*H41*10^-6</f>
        <v>#DIV/0!</v>
      </c>
      <c r="AH130" s="213" t="s">
        <v>22</v>
      </c>
      <c r="AJ130" s="207" t="s">
        <v>531</v>
      </c>
      <c r="AK130" s="130" t="e">
        <f>'Model homes'!$H282*E41*10^-6</f>
        <v>#DIV/0!</v>
      </c>
      <c r="AL130" s="130" t="e">
        <f>'Model homes'!$H282*F41*10^-6</f>
        <v>#DIV/0!</v>
      </c>
      <c r="AM130" s="130" t="e">
        <f>'Model homes'!$H282*G41*10^-6</f>
        <v>#DIV/0!</v>
      </c>
      <c r="AN130" s="130" t="e">
        <f>'Model homes'!$H282*H41*10^-6</f>
        <v>#DIV/0!</v>
      </c>
    </row>
    <row r="131" spans="3:40" x14ac:dyDescent="0.3">
      <c r="J131" s="26"/>
      <c r="L131" s="207"/>
      <c r="R131" s="26"/>
      <c r="T131" s="207"/>
      <c r="Z131" s="26"/>
      <c r="AB131" s="207"/>
      <c r="AH131" s="26"/>
      <c r="AJ131" s="207"/>
    </row>
    <row r="132" spans="3:40" x14ac:dyDescent="0.3">
      <c r="C132" s="51" t="s">
        <v>313</v>
      </c>
      <c r="E132" s="106"/>
      <c r="J132" s="51" t="s">
        <v>532</v>
      </c>
      <c r="R132" s="51" t="s">
        <v>533</v>
      </c>
      <c r="Z132" s="51" t="s">
        <v>534</v>
      </c>
      <c r="AH132" s="51" t="s">
        <v>535</v>
      </c>
    </row>
    <row r="133" spans="3:40" x14ac:dyDescent="0.3">
      <c r="C133" s="20" t="s">
        <v>14</v>
      </c>
      <c r="D133" s="84" t="s">
        <v>536</v>
      </c>
      <c r="E133" s="42" t="e">
        <f>LOOKUP(E$71,'Model homes'!$C$203:$C$227,'Model homes'!$F$203:$F$227)*E122</f>
        <v>#VALUE!</v>
      </c>
      <c r="F133" s="42" t="e">
        <f>LOOKUP(F$71,'Model homes'!$C$203:$C$227,'Model homes'!$F$203:$F$227)*F122</f>
        <v>#VALUE!</v>
      </c>
      <c r="G133" s="42" t="e">
        <f>LOOKUP(G$71,'Model homes'!$C$203:$C$227,'Model homes'!$F$203:$F$227)*G122</f>
        <v>#VALUE!</v>
      </c>
      <c r="H133" s="42" t="e">
        <f>LOOKUP(H$71,'Model homes'!$C$203:$C$227,'Model homes'!$F$203:$F$227)*H122</f>
        <v>#VALUE!</v>
      </c>
      <c r="J133" s="209" t="s">
        <v>14</v>
      </c>
      <c r="L133" s="207" t="s">
        <v>536</v>
      </c>
      <c r="M133" s="159" t="e">
        <f>LOOKUP(E$71,'Model homes'!$C$351:$C$375,'Model homes'!$E$351:$E$375)*M122</f>
        <v>#DIV/0!</v>
      </c>
      <c r="N133" s="159" t="e">
        <f>LOOKUP(F$71,'Model homes'!$C$351:$C$375,'Model homes'!$E$351:$E$375)*N122</f>
        <v>#DIV/0!</v>
      </c>
      <c r="O133" s="159" t="e">
        <f>LOOKUP(G$71,'Model homes'!$C$351:$C$375,'Model homes'!$E$351:$E$375)*O122</f>
        <v>#DIV/0!</v>
      </c>
      <c r="P133" s="159" t="e">
        <f>LOOKUP(H$71,'Model homes'!$C$351:$C$375,'Model homes'!$E$351:$E$375)*P122</f>
        <v>#DIV/0!</v>
      </c>
      <c r="R133" s="209" t="s">
        <v>14</v>
      </c>
      <c r="T133" s="207" t="s">
        <v>536</v>
      </c>
      <c r="U133" s="159" t="e">
        <f>LOOKUP(E$71,'Model homes'!$C$351:$C$375,'Model homes'!$F$351:$F$375)*U122</f>
        <v>#DIV/0!</v>
      </c>
      <c r="V133" s="159" t="e">
        <f>LOOKUP(F$71,'Model homes'!$C$351:$C$375,'Model homes'!$F$351:$F$375)*V122</f>
        <v>#DIV/0!</v>
      </c>
      <c r="W133" s="159" t="e">
        <f>LOOKUP(G$71,'Model homes'!$C$351:$C$375,'Model homes'!$F$351:$F$375)*W122</f>
        <v>#DIV/0!</v>
      </c>
      <c r="X133" s="159" t="e">
        <f>LOOKUP(H$71,'Model homes'!$C$351:$C$375,'Model homes'!$F$351:$F$375)*X122</f>
        <v>#DIV/0!</v>
      </c>
      <c r="Z133" s="209" t="s">
        <v>14</v>
      </c>
      <c r="AB133" s="207" t="s">
        <v>536</v>
      </c>
      <c r="AC133" s="159" t="e">
        <f>LOOKUP(E$71,'Model homes'!$C$351:$C$375,'Model homes'!$G$351:$G$375)*AC122</f>
        <v>#DIV/0!</v>
      </c>
      <c r="AD133" s="159" t="e">
        <f>LOOKUP(F$71,'Model homes'!$C$351:$C$375,'Model homes'!$G$351:$G$375)*AD122</f>
        <v>#DIV/0!</v>
      </c>
      <c r="AE133" s="159" t="e">
        <f>LOOKUP(G$71,'Model homes'!$C$351:$C$375,'Model homes'!$G$351:$G$375)*AE122</f>
        <v>#DIV/0!</v>
      </c>
      <c r="AF133" s="159" t="e">
        <f>LOOKUP(H$71,'Model homes'!$C$351:$C$375,'Model homes'!$G$351:$G$375)*AF122</f>
        <v>#DIV/0!</v>
      </c>
      <c r="AH133" s="209" t="s">
        <v>14</v>
      </c>
      <c r="AJ133" s="207" t="s">
        <v>536</v>
      </c>
      <c r="AK133" s="159" t="e">
        <f>LOOKUP(E$71,'Model homes'!$C$351:$C$375,'Model homes'!$H$351:$H$375)*AK122</f>
        <v>#DIV/0!</v>
      </c>
      <c r="AL133" s="159" t="e">
        <f>LOOKUP(F$71,'Model homes'!$C$351:$C$375,'Model homes'!$H$351:$H$375)*AL122</f>
        <v>#DIV/0!</v>
      </c>
      <c r="AM133" s="159" t="e">
        <f>LOOKUP(G$71,'Model homes'!$C$351:$C$375,'Model homes'!$H$351:$H$375)*AM122</f>
        <v>#DIV/0!</v>
      </c>
      <c r="AN133" s="159" t="e">
        <f>LOOKUP(H$71,'Model homes'!$C$351:$C$375,'Model homes'!$H$351:$H$375)*AN122</f>
        <v>#DIV/0!</v>
      </c>
    </row>
    <row r="134" spans="3:40" x14ac:dyDescent="0.3">
      <c r="C134" s="14" t="s">
        <v>15</v>
      </c>
      <c r="D134" s="84" t="s">
        <v>536</v>
      </c>
      <c r="E134" s="42">
        <f>LOOKUP(E$71,'Model homes'!$C$203:$C$227,'Model homes'!$F$203:$F$227)*E123</f>
        <v>0</v>
      </c>
      <c r="F134" s="42">
        <f>LOOKUP(F$71,'Model homes'!$C$203:$C$227,'Model homes'!$F$203:$F$227)*F123</f>
        <v>0</v>
      </c>
      <c r="G134" s="42">
        <f>LOOKUP(G$71,'Model homes'!$C$203:$C$227,'Model homes'!$F$203:$F$227)*G123</f>
        <v>0</v>
      </c>
      <c r="H134" s="42">
        <f>LOOKUP(H$71,'Model homes'!$C$203:$C$227,'Model homes'!$F$203:$F$227)*H123</f>
        <v>0</v>
      </c>
      <c r="J134" s="213" t="s">
        <v>15</v>
      </c>
      <c r="L134" s="207" t="s">
        <v>536</v>
      </c>
      <c r="M134" s="42">
        <f>LOOKUP(E$71,'Model homes'!$C$351:$C$375,'Model homes'!$E$351:$E$375)*M123</f>
        <v>0.18843802295402784</v>
      </c>
      <c r="N134" s="42">
        <f>LOOKUP(F$71,'Model homes'!$C$351:$C$375,'Model homes'!$E$351:$E$375)*N123</f>
        <v>6.7371271766604332E-2</v>
      </c>
      <c r="O134" s="42">
        <f>LOOKUP(G$71,'Model homes'!$C$351:$C$375,'Model homes'!$E$351:$E$375)*O123</f>
        <v>0.18091540575421564</v>
      </c>
      <c r="P134" s="42">
        <f>LOOKUP(H$71,'Model homes'!$C$351:$C$375,'Model homes'!$E$351:$E$375)*P123</f>
        <v>5.6494066078999469E-2</v>
      </c>
      <c r="R134" s="213" t="s">
        <v>15</v>
      </c>
      <c r="T134" s="207" t="s">
        <v>536</v>
      </c>
      <c r="U134" s="42">
        <f>LOOKUP(E$71,'Model homes'!$C$351:$C$375,'Model homes'!$F$351:$F$375)*U123</f>
        <v>2.5528187865395013</v>
      </c>
      <c r="V134" s="42">
        <f>LOOKUP(F$71,'Model homes'!$C$351:$C$375,'Model homes'!$F$351:$F$375)*V123</f>
        <v>0.91269609786133477</v>
      </c>
      <c r="W134" s="42">
        <f>LOOKUP(G$71,'Model homes'!$C$351:$C$375,'Model homes'!$F$351:$F$375)*W123</f>
        <v>2.4509079396171112</v>
      </c>
      <c r="X134" s="42">
        <f>LOOKUP(H$71,'Model homes'!$C$351:$C$375,'Model homes'!$F$351:$F$375)*X123</f>
        <v>0.76533977035865075</v>
      </c>
      <c r="Z134" s="213" t="s">
        <v>15</v>
      </c>
      <c r="AB134" s="207" t="s">
        <v>536</v>
      </c>
      <c r="AC134" s="42">
        <f>LOOKUP(E$71,'Model homes'!$C$351:$C$375,'Model homes'!$G$351:$G$375)*AC123</f>
        <v>3.307394318865689E-5</v>
      </c>
      <c r="AD134" s="42">
        <f>LOOKUP(F$71,'Model homes'!$C$351:$C$375,'Model homes'!$G$351:$G$375)*AD123</f>
        <v>3.4877976453492727E-5</v>
      </c>
      <c r="AE134" s="42">
        <f>LOOKUP(G$71,'Model homes'!$C$351:$C$375,'Model homes'!$G$351:$G$375)*AE123</f>
        <v>9.0145145908933246E-6</v>
      </c>
      <c r="AF134" s="42">
        <f>LOOKUP(H$71,'Model homes'!$C$351:$C$375,'Model homes'!$G$351:$G$375)*AF123</f>
        <v>6.8510310890789288E-6</v>
      </c>
      <c r="AH134" s="213" t="s">
        <v>15</v>
      </c>
      <c r="AJ134" s="207" t="s">
        <v>536</v>
      </c>
      <c r="AK134" s="42">
        <f>LOOKUP(E$71,'Model homes'!$C$351:$C$375,'Model homes'!$H$351:$H$375)*AK123</f>
        <v>2.5654828806092897E-7</v>
      </c>
      <c r="AL134" s="42">
        <f>LOOKUP(F$71,'Model homes'!$C$351:$C$375,'Model homes'!$H$351:$H$375)*AL123</f>
        <v>2.7054183104607066E-7</v>
      </c>
      <c r="AM134" s="42">
        <f>LOOKUP(G$71,'Model homes'!$C$351:$C$375,'Model homes'!$H$351:$H$375)*AM123</f>
        <v>6.9923875505328389E-8</v>
      </c>
      <c r="AN134" s="42">
        <f>LOOKUP(H$71,'Model homes'!$C$351:$C$375,'Model homes'!$H$351:$H$375)*AN123</f>
        <v>5.3142145384049592E-8</v>
      </c>
    </row>
    <row r="135" spans="3:40" x14ac:dyDescent="0.3">
      <c r="C135" s="15" t="s">
        <v>16</v>
      </c>
      <c r="D135" s="84" t="s">
        <v>536</v>
      </c>
      <c r="E135" s="42">
        <f>LOOKUP(E$71,'Model homes'!$C$203:$C$227,'Model homes'!$F$203:$F$227)*E124</f>
        <v>0</v>
      </c>
      <c r="F135" s="42">
        <f>LOOKUP(F$71,'Model homes'!$C$203:$C$227,'Model homes'!$F$203:$F$227)*F124</f>
        <v>0</v>
      </c>
      <c r="G135" s="42">
        <f>LOOKUP(G$71,'Model homes'!$C$203:$C$227,'Model homes'!$F$203:$F$227)*G124</f>
        <v>0</v>
      </c>
      <c r="H135" s="42">
        <f>LOOKUP(H$71,'Model homes'!$C$203:$C$227,'Model homes'!$F$203:$F$227)*H124</f>
        <v>0</v>
      </c>
      <c r="J135" s="210" t="s">
        <v>16</v>
      </c>
      <c r="L135" s="207" t="s">
        <v>536</v>
      </c>
      <c r="M135" s="42">
        <f>LOOKUP(E$71,'Model homes'!$C$351:$C$375,'Model homes'!$E$351:$E$375)*M124</f>
        <v>0.15310589365014762</v>
      </c>
      <c r="N135" s="42">
        <f>LOOKUP(F$71,'Model homes'!$C$351:$C$375,'Model homes'!$E$351:$E$375)*N124</f>
        <v>5.6142726472170272E-2</v>
      </c>
      <c r="O135" s="42">
        <f>LOOKUP(G$71,'Model homes'!$C$351:$C$375,'Model homes'!$E$351:$E$375)*O124</f>
        <v>0.14782112421381038</v>
      </c>
      <c r="P135" s="42">
        <f>LOOKUP(H$71,'Model homes'!$C$351:$C$375,'Model homes'!$E$351:$E$375)*P124</f>
        <v>4.707838839916622E-2</v>
      </c>
      <c r="R135" s="210" t="s">
        <v>16</v>
      </c>
      <c r="T135" s="207" t="s">
        <v>536</v>
      </c>
      <c r="U135" s="42">
        <f>LOOKUP(E$71,'Model homes'!$C$351:$C$375,'Model homes'!$F$351:$F$375)*U124</f>
        <v>2.0741652640633448</v>
      </c>
      <c r="V135" s="42">
        <f>LOOKUP(F$71,'Model homes'!$C$351:$C$375,'Model homes'!$F$351:$F$375)*V124</f>
        <v>0.76058008155111223</v>
      </c>
      <c r="W135" s="42">
        <f>LOOKUP(G$71,'Model homes'!$C$351:$C$375,'Model homes'!$F$351:$F$375)*W124</f>
        <v>2.0025711213944697</v>
      </c>
      <c r="X135" s="42">
        <f>LOOKUP(H$71,'Model homes'!$C$351:$C$375,'Model homes'!$F$351:$F$375)*X124</f>
        <v>0.63778314196554231</v>
      </c>
      <c r="Z135" s="210" t="s">
        <v>16</v>
      </c>
      <c r="AB135" s="207" t="s">
        <v>536</v>
      </c>
      <c r="AC135" s="42">
        <f>LOOKUP(E$71,'Model homes'!$C$351:$C$375,'Model homes'!$G$351:$G$375)*AC124</f>
        <v>3.307394318865689E-5</v>
      </c>
      <c r="AD135" s="42">
        <f>LOOKUP(F$71,'Model homes'!$C$351:$C$375,'Model homes'!$G$351:$G$375)*AD124</f>
        <v>3.4877976453492727E-5</v>
      </c>
      <c r="AE135" s="42">
        <f>LOOKUP(G$71,'Model homes'!$C$351:$C$375,'Model homes'!$G$351:$G$375)*AE124</f>
        <v>9.0145145908933229E-6</v>
      </c>
      <c r="AF135" s="42">
        <f>LOOKUP(H$71,'Model homes'!$C$351:$C$375,'Model homes'!$G$351:$G$375)*AF124</f>
        <v>6.8510310890789288E-6</v>
      </c>
      <c r="AH135" s="210" t="s">
        <v>16</v>
      </c>
      <c r="AJ135" s="207" t="s">
        <v>536</v>
      </c>
      <c r="AK135" s="42">
        <f>LOOKUP(E$71,'Model homes'!$C$351:$C$375,'Model homes'!$H$351:$H$375)*AK124</f>
        <v>2.5654828806092897E-7</v>
      </c>
      <c r="AL135" s="42">
        <f>LOOKUP(F$71,'Model homes'!$C$351:$C$375,'Model homes'!$H$351:$H$375)*AL124</f>
        <v>2.7054183104607066E-7</v>
      </c>
      <c r="AM135" s="42">
        <f>LOOKUP(G$71,'Model homes'!$C$351:$C$375,'Model homes'!$H$351:$H$375)*AM124</f>
        <v>6.9923875505328376E-8</v>
      </c>
      <c r="AN135" s="42">
        <f>LOOKUP(H$71,'Model homes'!$C$351:$C$375,'Model homes'!$H$351:$H$375)*AN124</f>
        <v>5.3142145384049592E-8</v>
      </c>
    </row>
    <row r="136" spans="3:40" x14ac:dyDescent="0.3">
      <c r="C136" s="15" t="s">
        <v>17</v>
      </c>
      <c r="D136" s="84" t="s">
        <v>536</v>
      </c>
      <c r="E136" s="42">
        <f>LOOKUP(E$71,'Model homes'!$C$203:$C$227,'Model homes'!$F$203:$F$227)*E125</f>
        <v>44.408778780731119</v>
      </c>
      <c r="F136" s="42">
        <f>LOOKUP(F$71,'Model homes'!$C$203:$C$227,'Model homes'!$F$203:$F$227)*F125</f>
        <v>15.877241000291956</v>
      </c>
      <c r="G136" s="42">
        <f>LOOKUP(G$71,'Model homes'!$C$203:$C$227,'Model homes'!$F$203:$F$227)*G125</f>
        <v>43.947815031951542</v>
      </c>
      <c r="H136" s="42">
        <f>LOOKUP(H$71,'Model homes'!$C$203:$C$227,'Model homes'!$F$203:$F$227)*H125</f>
        <v>13.313833607447467</v>
      </c>
      <c r="J136" s="210" t="s">
        <v>17</v>
      </c>
      <c r="L136" s="207" t="s">
        <v>536</v>
      </c>
      <c r="M136" s="42">
        <f>LOOKUP(E$71,'Model homes'!$C$351:$C$375,'Model homes'!$E$351:$E$375)*M125</f>
        <v>1.7901612180632644</v>
      </c>
      <c r="N136" s="42">
        <f>LOOKUP(F$71,'Model homes'!$C$351:$C$375,'Model homes'!$E$351:$E$375)*N125</f>
        <v>0.64002708178274115</v>
      </c>
      <c r="O136" s="42">
        <f>LOOKUP(G$71,'Model homes'!$C$351:$C$375,'Model homes'!$E$351:$E$375)*O125</f>
        <v>1.7715793194239733</v>
      </c>
      <c r="P136" s="42">
        <f>LOOKUP(H$71,'Model homes'!$C$351:$C$375,'Model homes'!$E$351:$E$375)*P125</f>
        <v>0.53669362775049489</v>
      </c>
      <c r="R136" s="210" t="s">
        <v>17</v>
      </c>
      <c r="T136" s="207" t="s">
        <v>536</v>
      </c>
      <c r="U136" s="42">
        <f>LOOKUP(E$71,'Model homes'!$C$351:$C$375,'Model homes'!$F$351:$F$375)*U125</f>
        <v>2.3057718071969693</v>
      </c>
      <c r="V136" s="42">
        <f>LOOKUP(F$71,'Model homes'!$C$351:$C$375,'Model homes'!$F$351:$F$375)*V125</f>
        <v>0.82437066903604428</v>
      </c>
      <c r="W136" s="42">
        <f>LOOKUP(G$71,'Model homes'!$C$351:$C$375,'Model homes'!$F$351:$F$375)*W125</f>
        <v>2.2818378633854599</v>
      </c>
      <c r="X136" s="42">
        <f>LOOKUP(H$71,'Model homes'!$C$351:$C$375,'Model homes'!$F$351:$F$375)*X125</f>
        <v>0.69127463129168454</v>
      </c>
      <c r="Z136" s="210" t="s">
        <v>17</v>
      </c>
      <c r="AB136" s="207" t="s">
        <v>536</v>
      </c>
      <c r="AC136" s="42">
        <f>LOOKUP(E$71,'Model homes'!$C$351:$C$375,'Model homes'!$G$351:$G$375)*AC125</f>
        <v>4.7248490269509832E-6</v>
      </c>
      <c r="AD136" s="42">
        <f>LOOKUP(F$71,'Model homes'!$C$351:$C$375,'Model homes'!$G$351:$G$375)*AD125</f>
        <v>4.9825680647846749E-6</v>
      </c>
      <c r="AE136" s="42">
        <f>LOOKUP(G$71,'Model homes'!$C$351:$C$375,'Model homes'!$G$351:$G$375)*AE125</f>
        <v>1.2877877986990461E-6</v>
      </c>
      <c r="AF136" s="42">
        <f>LOOKUP(H$71,'Model homes'!$C$351:$C$375,'Model homes'!$G$351:$G$375)*AF125</f>
        <v>9.7871872701127539E-7</v>
      </c>
      <c r="AH136" s="210" t="s">
        <v>17</v>
      </c>
      <c r="AJ136" s="207" t="s">
        <v>536</v>
      </c>
      <c r="AK136" s="42">
        <f>LOOKUP(E$71,'Model homes'!$C$351:$C$375,'Model homes'!$H$351:$H$375)*AK125</f>
        <v>2.5654828806092897E-7</v>
      </c>
      <c r="AL136" s="42">
        <f>LOOKUP(F$71,'Model homes'!$C$351:$C$375,'Model homes'!$H$351:$H$375)*AL125</f>
        <v>2.7054183104607066E-7</v>
      </c>
      <c r="AM136" s="42">
        <f>LOOKUP(G$71,'Model homes'!$C$351:$C$375,'Model homes'!$H$351:$H$375)*AM125</f>
        <v>6.9923875505328389E-8</v>
      </c>
      <c r="AN136" s="42">
        <f>LOOKUP(H$71,'Model homes'!$C$351:$C$375,'Model homes'!$H$351:$H$375)*AN125</f>
        <v>5.3142145384049592E-8</v>
      </c>
    </row>
    <row r="137" spans="3:40" x14ac:dyDescent="0.3">
      <c r="C137" s="15" t="s">
        <v>18</v>
      </c>
      <c r="D137" s="84" t="s">
        <v>536</v>
      </c>
      <c r="E137" s="42">
        <f>LOOKUP(E$71,'Model homes'!$C$203:$C$227,'Model homes'!$F$203:$F$227)*E126</f>
        <v>22.204389390365559</v>
      </c>
      <c r="F137" s="42">
        <f>LOOKUP(F$71,'Model homes'!$C$203:$C$227,'Model homes'!$F$203:$F$227)*F126</f>
        <v>8.0463845793334787</v>
      </c>
      <c r="G137" s="42">
        <f>LOOKUP(G$71,'Model homes'!$C$203:$C$227,'Model homes'!$F$203:$F$227)*G126</f>
        <v>21.973907515975768</v>
      </c>
      <c r="H137" s="42">
        <f>LOOKUP(H$71,'Model homes'!$C$203:$C$227,'Model homes'!$F$203:$F$227)*H126</f>
        <v>6.7472821901996207</v>
      </c>
      <c r="J137" s="210" t="s">
        <v>18</v>
      </c>
      <c r="L137" s="207" t="s">
        <v>536</v>
      </c>
      <c r="M137" s="42">
        <f>LOOKUP(E$71,'Model homes'!$C$351:$C$375,'Model homes'!$E$351:$E$375)*M126</f>
        <v>1.3779530428513287</v>
      </c>
      <c r="N137" s="42">
        <f>LOOKUP(F$71,'Model homes'!$C$351:$C$375,'Model homes'!$E$351:$E$375)*N126</f>
        <v>0.49934001427012603</v>
      </c>
      <c r="O137" s="42">
        <f>LOOKUP(G$71,'Model homes'!$C$351:$C$375,'Model homes'!$E$351:$E$375)*O126</f>
        <v>1.3636498708724003</v>
      </c>
      <c r="P137" s="42">
        <f>LOOKUP(H$71,'Model homes'!$C$351:$C$375,'Model homes'!$E$351:$E$375)*P126</f>
        <v>0.41872072505611369</v>
      </c>
      <c r="R137" s="210" t="s">
        <v>18</v>
      </c>
      <c r="T137" s="207" t="s">
        <v>536</v>
      </c>
      <c r="U137" s="42">
        <f>LOOKUP(E$71,'Model homes'!$C$351:$C$375,'Model homes'!$F$351:$F$375)*U126</f>
        <v>4.6835989833688432</v>
      </c>
      <c r="V137" s="42">
        <f>LOOKUP(F$71,'Model homes'!$C$351:$C$375,'Model homes'!$F$351:$F$375)*V126</f>
        <v>1.6972337303683258</v>
      </c>
      <c r="W137" s="42">
        <f>LOOKUP(G$71,'Model homes'!$C$351:$C$375,'Model homes'!$F$351:$F$375)*W126</f>
        <v>4.6349831600017151</v>
      </c>
      <c r="X137" s="42">
        <f>LOOKUP(H$71,'Model homes'!$C$351:$C$375,'Model homes'!$F$351:$F$375)*X126</f>
        <v>1.4232124761887619</v>
      </c>
      <c r="Z137" s="210" t="s">
        <v>18</v>
      </c>
      <c r="AB137" s="207" t="s">
        <v>536</v>
      </c>
      <c r="AC137" s="42">
        <f>LOOKUP(E$71,'Model homes'!$C$351:$C$375,'Model homes'!$G$351:$G$375)*AC126</f>
        <v>4.7248490269509832E-6</v>
      </c>
      <c r="AD137" s="42">
        <f>LOOKUP(F$71,'Model homes'!$C$351:$C$375,'Model homes'!$G$351:$G$375)*AD126</f>
        <v>4.9825680647846749E-6</v>
      </c>
      <c r="AE137" s="42">
        <f>LOOKUP(G$71,'Model homes'!$C$351:$C$375,'Model homes'!$G$351:$G$375)*AE126</f>
        <v>1.2877877986990459E-6</v>
      </c>
      <c r="AF137" s="42">
        <f>LOOKUP(H$71,'Model homes'!$C$351:$C$375,'Model homes'!$G$351:$G$375)*AF126</f>
        <v>9.7871872701127539E-7</v>
      </c>
      <c r="AH137" s="210" t="s">
        <v>18</v>
      </c>
      <c r="AJ137" s="207" t="s">
        <v>536</v>
      </c>
      <c r="AK137" s="42">
        <f>LOOKUP(E$71,'Model homes'!$C$351:$C$375,'Model homes'!$H$351:$H$375)*AK126</f>
        <v>2.5654828806092897E-7</v>
      </c>
      <c r="AL137" s="42">
        <f>LOOKUP(F$71,'Model homes'!$C$351:$C$375,'Model homes'!$H$351:$H$375)*AL126</f>
        <v>2.7054183104607066E-7</v>
      </c>
      <c r="AM137" s="42">
        <f>LOOKUP(G$71,'Model homes'!$C$351:$C$375,'Model homes'!$H$351:$H$375)*AM126</f>
        <v>6.9923875505328376E-8</v>
      </c>
      <c r="AN137" s="42">
        <f>LOOKUP(H$71,'Model homes'!$C$351:$C$375,'Model homes'!$H$351:$H$375)*AN126</f>
        <v>5.3142145384049592E-8</v>
      </c>
    </row>
    <row r="138" spans="3:40" x14ac:dyDescent="0.3">
      <c r="C138" s="15" t="s">
        <v>19</v>
      </c>
      <c r="D138" s="84" t="s">
        <v>536</v>
      </c>
      <c r="E138" s="42">
        <f>LOOKUP(E$71,'Model homes'!$C$203:$C$227,'Model homes'!$F$203:$F$227)*E127</f>
        <v>27.061599569508022</v>
      </c>
      <c r="F138" s="42">
        <f>LOOKUP(F$71,'Model homes'!$C$203:$C$227,'Model homes'!$F$203:$F$227)*F127</f>
        <v>9.6925017734340422</v>
      </c>
      <c r="G138" s="42">
        <f>LOOKUP(G$71,'Model homes'!$C$203:$C$227,'Model homes'!$F$203:$F$227)*G127</f>
        <v>26.780699785095472</v>
      </c>
      <c r="H138" s="42">
        <f>LOOKUP(H$71,'Model homes'!$C$203:$C$227,'Model homes'!$F$203:$F$227)*H127</f>
        <v>8.1276309812906042</v>
      </c>
      <c r="J138" s="210" t="s">
        <v>19</v>
      </c>
      <c r="L138" s="207" t="s">
        <v>536</v>
      </c>
      <c r="M138" s="42">
        <f>LOOKUP(E$71,'Model homes'!$C$351:$C$375,'Model homes'!$E$351:$E$375)*M127</f>
        <v>1.3779530428513287</v>
      </c>
      <c r="N138" s="42">
        <f>LOOKUP(F$71,'Model homes'!$C$351:$C$375,'Model homes'!$E$351:$E$375)*N127</f>
        <v>0.49353373503442693</v>
      </c>
      <c r="O138" s="42">
        <f>LOOKUP(G$71,'Model homes'!$C$351:$C$375,'Model homes'!$E$351:$E$375)*O127</f>
        <v>1.3636498708724003</v>
      </c>
      <c r="P138" s="42">
        <f>LOOKUP(H$71,'Model homes'!$C$351:$C$375,'Model homes'!$E$351:$E$375)*P127</f>
        <v>0.41385187941592633</v>
      </c>
      <c r="R138" s="210" t="s">
        <v>19</v>
      </c>
      <c r="T138" s="207" t="s">
        <v>536</v>
      </c>
      <c r="U138" s="42">
        <f>LOOKUP(E$71,'Model homes'!$C$351:$C$375,'Model homes'!$F$351:$F$375)*U127</f>
        <v>4.6835989833688432</v>
      </c>
      <c r="V138" s="42">
        <f>LOOKUP(F$71,'Model homes'!$C$351:$C$375,'Model homes'!$F$351:$F$375)*V127</f>
        <v>1.6774984544338107</v>
      </c>
      <c r="W138" s="42">
        <f>LOOKUP(G$71,'Model homes'!$C$351:$C$375,'Model homes'!$F$351:$F$375)*W127</f>
        <v>4.6349831600017151</v>
      </c>
      <c r="X138" s="42">
        <f>LOOKUP(H$71,'Model homes'!$C$351:$C$375,'Model homes'!$F$351:$F$375)*X127</f>
        <v>1.4066634939074973</v>
      </c>
      <c r="Z138" s="210" t="s">
        <v>19</v>
      </c>
      <c r="AB138" s="207" t="s">
        <v>536</v>
      </c>
      <c r="AC138" s="42">
        <f>LOOKUP(E$71,'Model homes'!$C$351:$C$375,'Model homes'!$G$351:$G$375)*AC127</f>
        <v>4.7248490269509832E-6</v>
      </c>
      <c r="AD138" s="42">
        <f>LOOKUP(F$71,'Model homes'!$C$351:$C$375,'Model homes'!$G$351:$G$375)*AD127</f>
        <v>4.9825680647846741E-6</v>
      </c>
      <c r="AE138" s="42">
        <f>LOOKUP(G$71,'Model homes'!$C$351:$C$375,'Model homes'!$G$351:$G$375)*AE127</f>
        <v>1.2877877986990461E-6</v>
      </c>
      <c r="AF138" s="42">
        <f>LOOKUP(H$71,'Model homes'!$C$351:$C$375,'Model homes'!$G$351:$G$375)*AF127</f>
        <v>9.7871872701127518E-7</v>
      </c>
      <c r="AH138" s="210" t="s">
        <v>19</v>
      </c>
      <c r="AJ138" s="207" t="s">
        <v>536</v>
      </c>
      <c r="AK138" s="42">
        <f>LOOKUP(E$71,'Model homes'!$C$351:$C$375,'Model homes'!$H$351:$H$375)*AK127</f>
        <v>2.5654828806092897E-7</v>
      </c>
      <c r="AL138" s="42">
        <f>LOOKUP(F$71,'Model homes'!$C$351:$C$375,'Model homes'!$H$351:$H$375)*AL127</f>
        <v>2.7054183104607061E-7</v>
      </c>
      <c r="AM138" s="42">
        <f>LOOKUP(G$71,'Model homes'!$C$351:$C$375,'Model homes'!$H$351:$H$375)*AM127</f>
        <v>6.9923875505328389E-8</v>
      </c>
      <c r="AN138" s="42">
        <f>LOOKUP(H$71,'Model homes'!$C$351:$C$375,'Model homes'!$H$351:$H$375)*AN127</f>
        <v>5.3142145384049579E-8</v>
      </c>
    </row>
    <row r="139" spans="3:40" x14ac:dyDescent="0.3">
      <c r="C139" s="14" t="s">
        <v>20</v>
      </c>
      <c r="D139" s="84" t="s">
        <v>536</v>
      </c>
      <c r="E139" s="42">
        <f>LOOKUP(E$71,'Model homes'!$C$203:$C$227,'Model homes'!$F$203:$F$227)*E128</f>
        <v>18.155353678004779</v>
      </c>
      <c r="F139" s="42">
        <f>LOOKUP(F$71,'Model homes'!$C$203:$C$227,'Model homes'!$F$203:$F$227)*F128</f>
        <v>6.8296001296569715</v>
      </c>
      <c r="G139" s="42">
        <f>LOOKUP(G$71,'Model homes'!$C$203:$C$227,'Model homes'!$F$203:$F$227)*G128</f>
        <v>17.553868647819726</v>
      </c>
      <c r="H139" s="42">
        <f>LOOKUP(H$71,'Model homes'!$C$203:$C$227,'Model homes'!$F$203:$F$227)*H128</f>
        <v>5.7269496463511862</v>
      </c>
      <c r="J139" s="213" t="s">
        <v>20</v>
      </c>
      <c r="L139" s="207" t="s">
        <v>536</v>
      </c>
      <c r="M139" s="42">
        <f>LOOKUP(E$71,'Model homes'!$C$351:$C$375,'Model homes'!$E$351:$E$375)*M128</f>
        <v>0</v>
      </c>
      <c r="N139" s="42">
        <f>LOOKUP(F$71,'Model homes'!$C$351:$C$375,'Model homes'!$E$351:$E$375)*N128</f>
        <v>0</v>
      </c>
      <c r="O139" s="42">
        <f>LOOKUP(G$71,'Model homes'!$C$351:$C$375,'Model homes'!$E$351:$E$375)*O128</f>
        <v>0</v>
      </c>
      <c r="P139" s="42">
        <f>LOOKUP(H$71,'Model homes'!$C$351:$C$375,'Model homes'!$E$351:$E$375)*P128</f>
        <v>0</v>
      </c>
      <c r="R139" s="213" t="s">
        <v>20</v>
      </c>
      <c r="T139" s="207" t="s">
        <v>536</v>
      </c>
      <c r="U139" s="42">
        <f>LOOKUP(E$71,'Model homes'!$C$351:$C$375,'Model homes'!$F$351:$F$375)*U128</f>
        <v>0.8186458727232937</v>
      </c>
      <c r="V139" s="42">
        <f>LOOKUP(F$71,'Model homes'!$C$351:$C$375,'Model homes'!$F$351:$F$375)*V128</f>
        <v>0.30795456027208545</v>
      </c>
      <c r="W139" s="42">
        <f>LOOKUP(G$71,'Model homes'!$C$351:$C$375,'Model homes'!$F$351:$F$375)*W128</f>
        <v>0.79152421779996451</v>
      </c>
      <c r="X139" s="42">
        <f>LOOKUP(H$71,'Model homes'!$C$351:$C$375,'Model homes'!$F$351:$F$375)*X128</f>
        <v>0.25823477605723849</v>
      </c>
      <c r="Z139" s="213" t="s">
        <v>20</v>
      </c>
      <c r="AB139" s="207" t="s">
        <v>536</v>
      </c>
      <c r="AC139" s="42">
        <f>LOOKUP(E$71,'Model homes'!$C$351:$C$375,'Model homes'!$G$351:$G$375)*AC128</f>
        <v>0</v>
      </c>
      <c r="AD139" s="42">
        <f>LOOKUP(F$71,'Model homes'!$C$351:$C$375,'Model homes'!$G$351:$G$375)*AD128</f>
        <v>0</v>
      </c>
      <c r="AE139" s="42">
        <f>LOOKUP(G$71,'Model homes'!$C$351:$C$375,'Model homes'!$G$351:$G$375)*AE128</f>
        <v>0</v>
      </c>
      <c r="AF139" s="42">
        <f>LOOKUP(H$71,'Model homes'!$C$351:$C$375,'Model homes'!$G$351:$G$375)*AF128</f>
        <v>0</v>
      </c>
      <c r="AH139" s="213" t="s">
        <v>20</v>
      </c>
      <c r="AJ139" s="207" t="s">
        <v>536</v>
      </c>
      <c r="AK139" s="42">
        <f>LOOKUP(E$71,'Model homes'!$C$351:$C$375,'Model homes'!$H$351:$H$375)*AK128</f>
        <v>0</v>
      </c>
      <c r="AL139" s="42">
        <f>LOOKUP(F$71,'Model homes'!$C$351:$C$375,'Model homes'!$H$351:$H$375)*AL128</f>
        <v>0</v>
      </c>
      <c r="AM139" s="42">
        <f>LOOKUP(G$71,'Model homes'!$C$351:$C$375,'Model homes'!$H$351:$H$375)*AM128</f>
        <v>0</v>
      </c>
      <c r="AN139" s="42">
        <f>LOOKUP(H$71,'Model homes'!$C$351:$C$375,'Model homes'!$H$351:$H$375)*AN128</f>
        <v>0</v>
      </c>
    </row>
    <row r="140" spans="3:40" x14ac:dyDescent="0.3">
      <c r="C140" s="14" t="s">
        <v>21</v>
      </c>
      <c r="D140" s="84" t="s">
        <v>536</v>
      </c>
      <c r="E140" s="42" t="e">
        <f>LOOKUP(E$71,'Model homes'!$C$203:$C$227,'Model homes'!$F$203:$F$227)*E129</f>
        <v>#N/A</v>
      </c>
      <c r="F140" s="42" t="e">
        <f>LOOKUP(F$71,'Model homes'!$C$203:$C$227,'Model homes'!$F$203:$F$227)*F129</f>
        <v>#N/A</v>
      </c>
      <c r="G140" s="42" t="e">
        <f>LOOKUP(G$71,'Model homes'!$C$203:$C$227,'Model homes'!$F$203:$F$227)*G129</f>
        <v>#N/A</v>
      </c>
      <c r="H140" s="42" t="e">
        <f>LOOKUP(H$71,'Model homes'!$C$203:$C$227,'Model homes'!$F$203:$F$227)*H129</f>
        <v>#N/A</v>
      </c>
      <c r="J140" s="213" t="s">
        <v>21</v>
      </c>
      <c r="L140" s="207" t="s">
        <v>536</v>
      </c>
      <c r="M140" s="159" t="e">
        <f>LOOKUP(E$71,'Model homes'!$C$351:$C$375,'Model homes'!$E$351:$E$375)*M129</f>
        <v>#DIV/0!</v>
      </c>
      <c r="N140" s="159" t="e">
        <f>LOOKUP(F$71,'Model homes'!$C$351:$C$375,'Model homes'!$E$351:$E$375)*N129</f>
        <v>#DIV/0!</v>
      </c>
      <c r="O140" s="159" t="e">
        <f>LOOKUP(G$71,'Model homes'!$C$351:$C$375,'Model homes'!$E$351:$E$375)*O129</f>
        <v>#DIV/0!</v>
      </c>
      <c r="P140" s="159" t="e">
        <f>LOOKUP(H$71,'Model homes'!$C$351:$C$375,'Model homes'!$E$351:$E$375)*P129</f>
        <v>#DIV/0!</v>
      </c>
      <c r="R140" s="213" t="s">
        <v>21</v>
      </c>
      <c r="T140" s="207" t="s">
        <v>536</v>
      </c>
      <c r="U140" s="159" t="e">
        <f>LOOKUP(E$71,'Model homes'!$C$351:$C$375,'Model homes'!$F$351:$F$375)*U129</f>
        <v>#DIV/0!</v>
      </c>
      <c r="V140" s="159" t="e">
        <f>LOOKUP(F$71,'Model homes'!$C$351:$C$375,'Model homes'!$F$351:$F$375)*V129</f>
        <v>#DIV/0!</v>
      </c>
      <c r="W140" s="159" t="e">
        <f>LOOKUP(G$71,'Model homes'!$C$351:$C$375,'Model homes'!$F$351:$F$375)*W129</f>
        <v>#DIV/0!</v>
      </c>
      <c r="X140" s="159" t="e">
        <f>LOOKUP(H$71,'Model homes'!$C$351:$C$375,'Model homes'!$F$351:$F$375)*X129</f>
        <v>#DIV/0!</v>
      </c>
      <c r="Z140" s="213" t="s">
        <v>21</v>
      </c>
      <c r="AB140" s="207" t="s">
        <v>536</v>
      </c>
      <c r="AC140" s="159" t="e">
        <f>LOOKUP(E$71,'Model homes'!$C$351:$C$375,'Model homes'!$G$351:$G$375)*AC129</f>
        <v>#DIV/0!</v>
      </c>
      <c r="AD140" s="159" t="e">
        <f>LOOKUP(F$71,'Model homes'!$C$351:$C$375,'Model homes'!$G$351:$G$375)*AD129</f>
        <v>#DIV/0!</v>
      </c>
      <c r="AE140" s="159" t="e">
        <f>LOOKUP(G$71,'Model homes'!$C$351:$C$375,'Model homes'!$G$351:$G$375)*AE129</f>
        <v>#DIV/0!</v>
      </c>
      <c r="AF140" s="159" t="e">
        <f>LOOKUP(H$71,'Model homes'!$C$351:$C$375,'Model homes'!$G$351:$G$375)*AF129</f>
        <v>#DIV/0!</v>
      </c>
      <c r="AH140" s="213" t="s">
        <v>21</v>
      </c>
      <c r="AJ140" s="207" t="s">
        <v>536</v>
      </c>
      <c r="AK140" s="159" t="e">
        <f>LOOKUP(E$71,'Model homes'!$C$351:$C$375,'Model homes'!$H$351:$H$375)*AK129</f>
        <v>#DIV/0!</v>
      </c>
      <c r="AL140" s="159" t="e">
        <f>LOOKUP(F$71,'Model homes'!$C$351:$C$375,'Model homes'!$H$351:$H$375)*AL129</f>
        <v>#DIV/0!</v>
      </c>
      <c r="AM140" s="159" t="e">
        <f>LOOKUP(G$71,'Model homes'!$C$351:$C$375,'Model homes'!$H$351:$H$375)*AM129</f>
        <v>#DIV/0!</v>
      </c>
      <c r="AN140" s="159" t="e">
        <f>LOOKUP(H$71,'Model homes'!$C$351:$C$375,'Model homes'!$H$351:$H$375)*AN129</f>
        <v>#DIV/0!</v>
      </c>
    </row>
    <row r="141" spans="3:40" x14ac:dyDescent="0.3">
      <c r="C141" s="14" t="s">
        <v>22</v>
      </c>
      <c r="D141" s="84" t="s">
        <v>536</v>
      </c>
      <c r="E141" s="42" t="e">
        <f>LOOKUP(E$71,'Model homes'!$C$203:$C$227,'Model homes'!$F$203:$F$227)*E130</f>
        <v>#N/A</v>
      </c>
      <c r="F141" s="42" t="e">
        <f>LOOKUP(F$71,'Model homes'!$C$203:$C$227,'Model homes'!$F$203:$F$227)*F130</f>
        <v>#N/A</v>
      </c>
      <c r="G141" s="42" t="e">
        <f>LOOKUP(G$71,'Model homes'!$C$203:$C$227,'Model homes'!$F$203:$F$227)*G130</f>
        <v>#N/A</v>
      </c>
      <c r="H141" s="42" t="e">
        <f>LOOKUP(H$71,'Model homes'!$C$203:$C$227,'Model homes'!$F$203:$F$227)*H130</f>
        <v>#N/A</v>
      </c>
      <c r="J141" s="213" t="s">
        <v>22</v>
      </c>
      <c r="L141" s="207" t="s">
        <v>536</v>
      </c>
      <c r="M141" s="159" t="e">
        <f>LOOKUP(E$71,'Model homes'!$C$351:$C$375,'Model homes'!$E$351:$E$375)*M130</f>
        <v>#DIV/0!</v>
      </c>
      <c r="N141" s="159" t="e">
        <f>LOOKUP(F$71,'Model homes'!$C$351:$C$375,'Model homes'!$E$351:$E$375)*N130</f>
        <v>#DIV/0!</v>
      </c>
      <c r="O141" s="159" t="e">
        <f>LOOKUP(G$71,'Model homes'!$C$351:$C$375,'Model homes'!$E$351:$E$375)*O130</f>
        <v>#DIV/0!</v>
      </c>
      <c r="P141" s="159" t="e">
        <f>LOOKUP(H$71,'Model homes'!$C$351:$C$375,'Model homes'!$E$351:$E$375)*P130</f>
        <v>#DIV/0!</v>
      </c>
      <c r="R141" s="213" t="s">
        <v>22</v>
      </c>
      <c r="T141" s="207" t="s">
        <v>536</v>
      </c>
      <c r="U141" s="159" t="e">
        <f>LOOKUP(E$71,'Model homes'!$C$351:$C$375,'Model homes'!$F$351:$F$375)*U130</f>
        <v>#DIV/0!</v>
      </c>
      <c r="V141" s="159" t="e">
        <f>LOOKUP(F$71,'Model homes'!$C$351:$C$375,'Model homes'!$F$351:$F$375)*V130</f>
        <v>#DIV/0!</v>
      </c>
      <c r="W141" s="159" t="e">
        <f>LOOKUP(G$71,'Model homes'!$C$351:$C$375,'Model homes'!$F$351:$F$375)*W130</f>
        <v>#DIV/0!</v>
      </c>
      <c r="X141" s="159" t="e">
        <f>LOOKUP(H$71,'Model homes'!$C$351:$C$375,'Model homes'!$F$351:$F$375)*X130</f>
        <v>#DIV/0!</v>
      </c>
      <c r="Z141" s="213" t="s">
        <v>22</v>
      </c>
      <c r="AB141" s="207" t="s">
        <v>536</v>
      </c>
      <c r="AC141" s="159" t="e">
        <f>LOOKUP(E$71,'Model homes'!$C$351:$C$375,'Model homes'!$G$351:$G$375)*AC130</f>
        <v>#DIV/0!</v>
      </c>
      <c r="AD141" s="159" t="e">
        <f>LOOKUP(F$71,'Model homes'!$C$351:$C$375,'Model homes'!$G$351:$G$375)*AD130</f>
        <v>#DIV/0!</v>
      </c>
      <c r="AE141" s="159" t="e">
        <f>LOOKUP(G$71,'Model homes'!$C$351:$C$375,'Model homes'!$G$351:$G$375)*AE130</f>
        <v>#DIV/0!</v>
      </c>
      <c r="AF141" s="159" t="e">
        <f>LOOKUP(H$71,'Model homes'!$C$351:$C$375,'Model homes'!$G$351:$G$375)*AF130</f>
        <v>#DIV/0!</v>
      </c>
      <c r="AH141" s="213" t="s">
        <v>22</v>
      </c>
      <c r="AJ141" s="207" t="s">
        <v>536</v>
      </c>
      <c r="AK141" s="159" t="e">
        <f>LOOKUP(E$71,'Model homes'!$C$351:$C$375,'Model homes'!$H$351:$H$375)*AK130</f>
        <v>#DIV/0!</v>
      </c>
      <c r="AL141" s="159" t="e">
        <f>LOOKUP(F$71,'Model homes'!$C$351:$C$375,'Model homes'!$H$351:$H$375)*AL130</f>
        <v>#DIV/0!</v>
      </c>
      <c r="AM141" s="159" t="e">
        <f>LOOKUP(G$71,'Model homes'!$C$351:$C$375,'Model homes'!$H$351:$H$375)*AM130</f>
        <v>#DIV/0!</v>
      </c>
      <c r="AN141" s="159" t="e">
        <f>LOOKUP(H$71,'Model homes'!$C$351:$C$375,'Model homes'!$H$351:$H$375)*AN130</f>
        <v>#DIV/0!</v>
      </c>
    </row>
    <row r="143" spans="3:40" x14ac:dyDescent="0.3">
      <c r="C143" s="15" t="s">
        <v>303</v>
      </c>
      <c r="D143" s="17" t="s">
        <v>301</v>
      </c>
      <c r="E143" s="94">
        <f>'Model homes'!E$170</f>
        <v>0.03</v>
      </c>
    </row>
    <row r="145" spans="2:19" x14ac:dyDescent="0.3">
      <c r="C145" s="51" t="s">
        <v>537</v>
      </c>
      <c r="E145" s="209"/>
      <c r="J145" s="51" t="s">
        <v>538</v>
      </c>
    </row>
    <row r="146" spans="2:19" x14ac:dyDescent="0.3">
      <c r="C146" s="209" t="s">
        <v>14</v>
      </c>
      <c r="D146" s="207" t="s">
        <v>536</v>
      </c>
      <c r="E146" s="159" t="e">
        <f t="shared" ref="E146:E154" si="12">M133+U133+AC133+AK133</f>
        <v>#DIV/0!</v>
      </c>
      <c r="F146" s="159" t="e">
        <f t="shared" ref="F146:F154" si="13">N133+V133+AD133+AL133</f>
        <v>#DIV/0!</v>
      </c>
      <c r="G146" s="159" t="e">
        <f t="shared" ref="G146:G154" si="14">O133+W133+AE133+AM133</f>
        <v>#DIV/0!</v>
      </c>
      <c r="H146" s="159" t="e">
        <f t="shared" ref="H146:H154" si="15">P133+X133+AF133+AN133</f>
        <v>#DIV/0!</v>
      </c>
      <c r="J146" s="63">
        <f>(1-(((1+'Model homes'!$E159)/(1+E$143))^E$71))/(E$143-'Model homes'!$E159)</f>
        <v>9.4993760220285992</v>
      </c>
    </row>
    <row r="147" spans="2:19" x14ac:dyDescent="0.3">
      <c r="C147" s="213" t="s">
        <v>15</v>
      </c>
      <c r="D147" s="207" t="s">
        <v>536</v>
      </c>
      <c r="E147" s="42">
        <f t="shared" si="12"/>
        <v>2.7412901399850056</v>
      </c>
      <c r="F147" s="42">
        <f t="shared" si="13"/>
        <v>0.98010251814622362</v>
      </c>
      <c r="G147" s="42">
        <f t="shared" si="14"/>
        <v>2.6318324298097933</v>
      </c>
      <c r="H147" s="42">
        <f t="shared" si="15"/>
        <v>0.82184074061088463</v>
      </c>
      <c r="J147" s="63">
        <f>(1-(((1+'Model homes'!$E160)/(1+E$143))^E$71))/(E$143-'Model homes'!$E160)</f>
        <v>9.2953669788838358</v>
      </c>
    </row>
    <row r="148" spans="2:19" x14ac:dyDescent="0.3">
      <c r="C148" s="210" t="s">
        <v>16</v>
      </c>
      <c r="D148" s="207" t="s">
        <v>536</v>
      </c>
      <c r="E148" s="42">
        <f t="shared" si="12"/>
        <v>2.2273044882049691</v>
      </c>
      <c r="F148" s="42">
        <f t="shared" si="13"/>
        <v>0.81675795654156702</v>
      </c>
      <c r="G148" s="42">
        <f t="shared" si="14"/>
        <v>2.1504013300467464</v>
      </c>
      <c r="H148" s="42">
        <f t="shared" si="15"/>
        <v>0.68486843453794299</v>
      </c>
      <c r="J148" s="63">
        <f>(1-(((1+'Model homes'!$E161)/(1+E$143))^E$71))/(E$143-'Model homes'!$E161)</f>
        <v>9.4993760220285992</v>
      </c>
    </row>
    <row r="149" spans="2:19" x14ac:dyDescent="0.3">
      <c r="C149" s="210" t="s">
        <v>17</v>
      </c>
      <c r="D149" s="207" t="s">
        <v>536</v>
      </c>
      <c r="E149" s="42">
        <f t="shared" si="12"/>
        <v>4.0959380066575486</v>
      </c>
      <c r="F149" s="42">
        <f t="shared" si="13"/>
        <v>1.4644030039286811</v>
      </c>
      <c r="G149" s="42">
        <f t="shared" si="14"/>
        <v>4.0534185405211076</v>
      </c>
      <c r="H149" s="42">
        <f t="shared" si="15"/>
        <v>1.2279692909030517</v>
      </c>
      <c r="J149" s="63">
        <f>(1-(((1+'Model homes'!$E162)/(1+E$143))^E$71))/(E$143-'Model homes'!$E162)</f>
        <v>9.4993760220285992</v>
      </c>
    </row>
    <row r="150" spans="2:19" x14ac:dyDescent="0.3">
      <c r="C150" s="210" t="s">
        <v>18</v>
      </c>
      <c r="D150" s="207" t="s">
        <v>536</v>
      </c>
      <c r="E150" s="42">
        <f t="shared" si="12"/>
        <v>6.0615570076174867</v>
      </c>
      <c r="F150" s="42">
        <f t="shared" si="13"/>
        <v>2.1965789977483476</v>
      </c>
      <c r="G150" s="42">
        <f t="shared" si="14"/>
        <v>5.9986343885857902</v>
      </c>
      <c r="H150" s="42">
        <f t="shared" si="15"/>
        <v>1.8419342331057478</v>
      </c>
      <c r="J150" s="63">
        <f>(1-(((1+'Model homes'!$E163)/(1+E$143))^E$71))/(E$143-'Model homes'!$E163)</f>
        <v>9.4993760220285992</v>
      </c>
    </row>
    <row r="151" spans="2:19" x14ac:dyDescent="0.3">
      <c r="C151" s="210" t="s">
        <v>19</v>
      </c>
      <c r="D151" s="207" t="s">
        <v>536</v>
      </c>
      <c r="E151" s="42">
        <f t="shared" si="12"/>
        <v>6.0615570076174867</v>
      </c>
      <c r="F151" s="42">
        <f t="shared" si="13"/>
        <v>2.1710374425781338</v>
      </c>
      <c r="G151" s="42">
        <f t="shared" si="14"/>
        <v>5.9986343885857902</v>
      </c>
      <c r="H151" s="42">
        <f t="shared" si="15"/>
        <v>1.8205164051842959</v>
      </c>
      <c r="J151" s="63">
        <f>(1-(((1+'Model homes'!$E164)/(1+E$143))^E$71))/(E$143-'Model homes'!$E164)</f>
        <v>9.4993760220285992</v>
      </c>
    </row>
    <row r="152" spans="2:19" x14ac:dyDescent="0.3">
      <c r="C152" s="213" t="s">
        <v>20</v>
      </c>
      <c r="D152" s="207" t="s">
        <v>536</v>
      </c>
      <c r="E152" s="42">
        <f t="shared" si="12"/>
        <v>0.8186458727232937</v>
      </c>
      <c r="F152" s="42">
        <f t="shared" si="13"/>
        <v>0.30795456027208545</v>
      </c>
      <c r="G152" s="42">
        <f t="shared" si="14"/>
        <v>0.79152421779996451</v>
      </c>
      <c r="H152" s="42">
        <f t="shared" si="15"/>
        <v>0.25823477605723849</v>
      </c>
      <c r="J152" s="63">
        <f>(1-(((1+'Model homes'!$E165)/(1+E$143))^E$71))/(E$143-'Model homes'!$E165)</f>
        <v>9.6664306788023762</v>
      </c>
    </row>
    <row r="153" spans="2:19" x14ac:dyDescent="0.3">
      <c r="C153" s="213" t="s">
        <v>21</v>
      </c>
      <c r="D153" s="207" t="s">
        <v>536</v>
      </c>
      <c r="E153" s="159" t="e">
        <f t="shared" si="12"/>
        <v>#DIV/0!</v>
      </c>
      <c r="F153" s="159" t="e">
        <f t="shared" si="13"/>
        <v>#DIV/0!</v>
      </c>
      <c r="G153" s="159" t="e">
        <f t="shared" si="14"/>
        <v>#DIV/0!</v>
      </c>
      <c r="H153" s="159" t="e">
        <f t="shared" si="15"/>
        <v>#DIV/0!</v>
      </c>
      <c r="J153" s="63">
        <f>(1-(((1+'Model homes'!$E166)/(1+E$143))^E$71))/(E$143-'Model homes'!$E166)</f>
        <v>9.4993760220285992</v>
      </c>
    </row>
    <row r="154" spans="2:19" x14ac:dyDescent="0.3">
      <c r="C154" s="213" t="s">
        <v>22</v>
      </c>
      <c r="D154" s="207" t="s">
        <v>536</v>
      </c>
      <c r="E154" s="159" t="e">
        <f t="shared" si="12"/>
        <v>#DIV/0!</v>
      </c>
      <c r="F154" s="159" t="e">
        <f t="shared" si="13"/>
        <v>#DIV/0!</v>
      </c>
      <c r="G154" s="159" t="e">
        <f t="shared" si="14"/>
        <v>#DIV/0!</v>
      </c>
      <c r="H154" s="159" t="e">
        <f t="shared" si="15"/>
        <v>#DIV/0!</v>
      </c>
      <c r="J154" s="63">
        <f>(1-(((1+'Model homes'!$E167)/(1+E$143))^E$71))/(E$143-'Model homes'!$E167)</f>
        <v>9.4993760220285992</v>
      </c>
    </row>
    <row r="155" spans="2:19" x14ac:dyDescent="0.3">
      <c r="R155" s="42"/>
      <c r="S155" s="99"/>
    </row>
    <row r="156" spans="2:19" ht="20.25" x14ac:dyDescent="0.35">
      <c r="C156" s="81" t="s">
        <v>602</v>
      </c>
    </row>
    <row r="157" spans="2:19" s="18" customFormat="1" ht="17.25" thickBot="1" x14ac:dyDescent="0.35">
      <c r="B157" s="19" t="s">
        <v>153</v>
      </c>
      <c r="C157" s="19" t="s">
        <v>154</v>
      </c>
      <c r="D157" s="19" t="s">
        <v>32</v>
      </c>
      <c r="E157" s="19" t="s">
        <v>155</v>
      </c>
      <c r="F157" s="19"/>
      <c r="G157" s="19" t="s">
        <v>155</v>
      </c>
      <c r="H157" s="19"/>
      <c r="I157" s="19"/>
      <c r="J157" s="56" t="s">
        <v>156</v>
      </c>
      <c r="K157" s="56"/>
    </row>
    <row r="158" spans="2:19" s="30" customFormat="1" ht="18" thickTop="1" thickBot="1" x14ac:dyDescent="0.35">
      <c r="B158" s="28"/>
      <c r="C158" s="29" t="s">
        <v>157</v>
      </c>
      <c r="D158" s="29"/>
      <c r="E158" s="335" t="s">
        <v>5</v>
      </c>
      <c r="F158" s="335"/>
      <c r="G158" s="335" t="s">
        <v>6</v>
      </c>
      <c r="H158" s="335"/>
      <c r="I158" s="28"/>
      <c r="J158" s="28"/>
      <c r="K158" s="57"/>
      <c r="M158" s="20"/>
    </row>
    <row r="159" spans="2:19" ht="18" thickTop="1" thickBot="1" x14ac:dyDescent="0.35">
      <c r="B159" s="19"/>
      <c r="C159" s="29" t="s">
        <v>158</v>
      </c>
      <c r="D159" s="29"/>
      <c r="E159" s="29" t="s">
        <v>7</v>
      </c>
      <c r="F159" s="29" t="s">
        <v>8</v>
      </c>
      <c r="G159" s="29" t="s">
        <v>7</v>
      </c>
      <c r="H159" s="29" t="s">
        <v>8</v>
      </c>
      <c r="I159" s="19"/>
      <c r="J159" s="19"/>
      <c r="K159" s="56"/>
      <c r="M159" s="82"/>
      <c r="N159" s="82"/>
    </row>
    <row r="160" spans="2:19" ht="17.25" thickTop="1" x14ac:dyDescent="0.3">
      <c r="C160" s="20" t="s">
        <v>14</v>
      </c>
      <c r="D160" s="20" t="s">
        <v>540</v>
      </c>
      <c r="E160" s="38">
        <f>'Campaign Input'!$G$12*'Data Input'!B$9*'Data Input'!B16</f>
        <v>0</v>
      </c>
      <c r="F160" s="38">
        <f>'Campaign Input'!$G$12*'Data Input'!C$9*'Data Input'!C16</f>
        <v>0</v>
      </c>
      <c r="G160" s="38">
        <f>'Campaign Input'!$G$12*'Data Input'!D$9*'Data Input'!D16</f>
        <v>0</v>
      </c>
      <c r="H160" s="38">
        <f>'Campaign Input'!$G$12*'Data Input'!E$9*'Data Input'!E16</f>
        <v>0</v>
      </c>
    </row>
    <row r="161" spans="3:8" x14ac:dyDescent="0.3">
      <c r="C161" s="14" t="s">
        <v>15</v>
      </c>
      <c r="D161" s="20" t="s">
        <v>540</v>
      </c>
      <c r="E161" s="38">
        <f>'Campaign Input'!$G$12*'Data Input'!B$9*'Data Input'!B17</f>
        <v>0</v>
      </c>
      <c r="F161" s="38">
        <f>'Campaign Input'!$G$12*'Data Input'!C$9*'Data Input'!C17</f>
        <v>0</v>
      </c>
      <c r="G161" s="38">
        <f>'Campaign Input'!$G$12*'Data Input'!D$9*'Data Input'!D17</f>
        <v>0</v>
      </c>
      <c r="H161" s="38">
        <f>'Campaign Input'!$G$12*'Data Input'!E$9*'Data Input'!E17</f>
        <v>0</v>
      </c>
    </row>
    <row r="162" spans="3:8" x14ac:dyDescent="0.3">
      <c r="C162" s="15" t="s">
        <v>16</v>
      </c>
      <c r="D162" s="20" t="s">
        <v>540</v>
      </c>
      <c r="E162" s="38">
        <f>'Campaign Input'!$G$12*'Data Input'!B$9*'Data Input'!B18</f>
        <v>0</v>
      </c>
      <c r="F162" s="38">
        <f>'Campaign Input'!$G$12*'Data Input'!C$9*'Data Input'!C18</f>
        <v>0</v>
      </c>
      <c r="G162" s="38">
        <f>'Campaign Input'!$G$12*'Data Input'!D$9*'Data Input'!D18</f>
        <v>0</v>
      </c>
      <c r="H162" s="38">
        <f>'Campaign Input'!$G$12*'Data Input'!E$9*'Data Input'!E18</f>
        <v>0</v>
      </c>
    </row>
    <row r="163" spans="3:8" x14ac:dyDescent="0.3">
      <c r="C163" s="15" t="s">
        <v>17</v>
      </c>
      <c r="D163" s="20" t="s">
        <v>540</v>
      </c>
      <c r="E163" s="38">
        <f>'Campaign Input'!$G$12*'Data Input'!B$9*'Data Input'!B19</f>
        <v>0</v>
      </c>
      <c r="F163" s="38">
        <f>'Campaign Input'!$G$12*'Data Input'!C$9*'Data Input'!C19</f>
        <v>0</v>
      </c>
      <c r="G163" s="38">
        <f>'Campaign Input'!$G$12*'Data Input'!D$9*'Data Input'!D19</f>
        <v>0</v>
      </c>
      <c r="H163" s="38">
        <f>'Campaign Input'!$G$12*'Data Input'!E$9*'Data Input'!E19</f>
        <v>0</v>
      </c>
    </row>
    <row r="164" spans="3:8" x14ac:dyDescent="0.3">
      <c r="C164" s="15" t="s">
        <v>18</v>
      </c>
      <c r="D164" s="20" t="s">
        <v>540</v>
      </c>
      <c r="E164" s="38">
        <f>'Campaign Input'!$G$12*'Data Input'!B$9*'Data Input'!B20</f>
        <v>0</v>
      </c>
      <c r="F164" s="38">
        <f>'Campaign Input'!$G$12*'Data Input'!C$9*'Data Input'!C20</f>
        <v>0</v>
      </c>
      <c r="G164" s="38">
        <f>'Campaign Input'!$G$12*'Data Input'!D$9*'Data Input'!D20</f>
        <v>0</v>
      </c>
      <c r="H164" s="38">
        <f>'Campaign Input'!$G$12*'Data Input'!E$9*'Data Input'!E20</f>
        <v>0</v>
      </c>
    </row>
    <row r="165" spans="3:8" x14ac:dyDescent="0.3">
      <c r="C165" s="15" t="s">
        <v>19</v>
      </c>
      <c r="D165" s="20" t="s">
        <v>540</v>
      </c>
      <c r="E165" s="38">
        <f>'Campaign Input'!$G$12*'Data Input'!B$9*'Data Input'!B21</f>
        <v>0</v>
      </c>
      <c r="F165" s="38">
        <f>'Campaign Input'!$G$12*'Data Input'!C$9*'Data Input'!C21</f>
        <v>0</v>
      </c>
      <c r="G165" s="38">
        <f>'Campaign Input'!$G$12*'Data Input'!D$9*'Data Input'!D21</f>
        <v>0</v>
      </c>
      <c r="H165" s="38">
        <f>'Campaign Input'!$G$12*'Data Input'!E$9*'Data Input'!E21</f>
        <v>0</v>
      </c>
    </row>
    <row r="166" spans="3:8" x14ac:dyDescent="0.3">
      <c r="C166" s="14" t="s">
        <v>20</v>
      </c>
      <c r="D166" s="20" t="s">
        <v>540</v>
      </c>
      <c r="E166" s="38">
        <f>'Campaign Input'!$G$12*'Data Input'!B$9*'Data Input'!B22</f>
        <v>0</v>
      </c>
      <c r="F166" s="38">
        <f>'Campaign Input'!$G$12*'Data Input'!C$9*'Data Input'!C22</f>
        <v>0</v>
      </c>
      <c r="G166" s="38">
        <f>'Campaign Input'!$G$12*'Data Input'!D$9*'Data Input'!D22</f>
        <v>0</v>
      </c>
      <c r="H166" s="38">
        <f>'Campaign Input'!$G$12*'Data Input'!E$9*'Data Input'!E22</f>
        <v>0</v>
      </c>
    </row>
    <row r="167" spans="3:8" x14ac:dyDescent="0.3">
      <c r="C167" s="14" t="s">
        <v>21</v>
      </c>
      <c r="D167" s="20" t="s">
        <v>540</v>
      </c>
      <c r="E167" s="38">
        <f>'Campaign Input'!$G$12*'Data Input'!B$9*'Data Input'!B23</f>
        <v>0</v>
      </c>
      <c r="F167" s="38">
        <f>'Campaign Input'!$G$12*'Data Input'!C$9*'Data Input'!C23</f>
        <v>0</v>
      </c>
      <c r="G167" s="38">
        <f>'Campaign Input'!$G$12*'Data Input'!D$9*'Data Input'!D23</f>
        <v>0</v>
      </c>
      <c r="H167" s="38">
        <f>'Campaign Input'!$G$12*'Data Input'!E$9*'Data Input'!E23</f>
        <v>0</v>
      </c>
    </row>
    <row r="168" spans="3:8" x14ac:dyDescent="0.3">
      <c r="C168" s="14" t="s">
        <v>22</v>
      </c>
      <c r="D168" s="20" t="s">
        <v>540</v>
      </c>
      <c r="E168" s="38">
        <f>'Campaign Input'!$G$12*'Data Input'!B$9*'Data Input'!B24</f>
        <v>0</v>
      </c>
      <c r="F168" s="38">
        <f>'Campaign Input'!$G$12*'Data Input'!C$9*'Data Input'!C24</f>
        <v>0</v>
      </c>
      <c r="G168" s="38">
        <f>'Campaign Input'!$G$12*'Data Input'!D$9*'Data Input'!D24</f>
        <v>0</v>
      </c>
      <c r="H168" s="38">
        <f>'Campaign Input'!$G$12*'Data Input'!E$9*'Data Input'!E24</f>
        <v>0</v>
      </c>
    </row>
    <row r="170" spans="3:8" x14ac:dyDescent="0.3">
      <c r="C170" s="51" t="s">
        <v>603</v>
      </c>
      <c r="D170" s="207"/>
      <c r="E170" s="208"/>
    </row>
    <row r="171" spans="3:8" x14ac:dyDescent="0.3">
      <c r="C171" s="209" t="s">
        <v>14</v>
      </c>
      <c r="D171" s="210" t="s">
        <v>69</v>
      </c>
      <c r="E171" s="42">
        <f>E$64*E160</f>
        <v>0</v>
      </c>
      <c r="F171" s="42">
        <f t="shared" ref="E171:H179" si="16">F$64*F160</f>
        <v>0</v>
      </c>
      <c r="G171" s="42">
        <f t="shared" si="16"/>
        <v>0</v>
      </c>
      <c r="H171" s="42">
        <f t="shared" si="16"/>
        <v>0</v>
      </c>
    </row>
    <row r="172" spans="3:8" x14ac:dyDescent="0.3">
      <c r="C172" s="213" t="s">
        <v>15</v>
      </c>
      <c r="D172" s="210" t="s">
        <v>69</v>
      </c>
      <c r="E172" s="42">
        <f t="shared" si="16"/>
        <v>0</v>
      </c>
      <c r="F172" s="42">
        <f t="shared" si="16"/>
        <v>0</v>
      </c>
      <c r="G172" s="42">
        <f t="shared" si="16"/>
        <v>0</v>
      </c>
      <c r="H172" s="42">
        <f t="shared" si="16"/>
        <v>0</v>
      </c>
    </row>
    <row r="173" spans="3:8" x14ac:dyDescent="0.3">
      <c r="C173" s="210" t="s">
        <v>16</v>
      </c>
      <c r="D173" s="210" t="s">
        <v>69</v>
      </c>
      <c r="E173" s="42">
        <f t="shared" si="16"/>
        <v>0</v>
      </c>
      <c r="F173" s="42">
        <f t="shared" si="16"/>
        <v>0</v>
      </c>
      <c r="G173" s="42">
        <f t="shared" si="16"/>
        <v>0</v>
      </c>
      <c r="H173" s="42">
        <f t="shared" si="16"/>
        <v>0</v>
      </c>
    </row>
    <row r="174" spans="3:8" x14ac:dyDescent="0.3">
      <c r="C174" s="210" t="s">
        <v>17</v>
      </c>
      <c r="D174" s="210" t="s">
        <v>69</v>
      </c>
      <c r="E174" s="42">
        <f t="shared" si="16"/>
        <v>0</v>
      </c>
      <c r="F174" s="42">
        <f t="shared" si="16"/>
        <v>0</v>
      </c>
      <c r="G174" s="42">
        <f t="shared" si="16"/>
        <v>0</v>
      </c>
      <c r="H174" s="42">
        <f t="shared" si="16"/>
        <v>0</v>
      </c>
    </row>
    <row r="175" spans="3:8" x14ac:dyDescent="0.3">
      <c r="C175" s="210" t="s">
        <v>18</v>
      </c>
      <c r="D175" s="210" t="s">
        <v>69</v>
      </c>
      <c r="E175" s="42">
        <f t="shared" si="16"/>
        <v>0</v>
      </c>
      <c r="F175" s="42">
        <f t="shared" si="16"/>
        <v>0</v>
      </c>
      <c r="G175" s="42">
        <f t="shared" si="16"/>
        <v>0</v>
      </c>
      <c r="H175" s="42">
        <f t="shared" si="16"/>
        <v>0</v>
      </c>
    </row>
    <row r="176" spans="3:8" x14ac:dyDescent="0.3">
      <c r="C176" s="210" t="s">
        <v>19</v>
      </c>
      <c r="D176" s="210" t="s">
        <v>69</v>
      </c>
      <c r="E176" s="42">
        <f t="shared" si="16"/>
        <v>0</v>
      </c>
      <c r="F176" s="42">
        <f t="shared" si="16"/>
        <v>0</v>
      </c>
      <c r="G176" s="42">
        <f t="shared" si="16"/>
        <v>0</v>
      </c>
      <c r="H176" s="42">
        <f t="shared" si="16"/>
        <v>0</v>
      </c>
    </row>
    <row r="177" spans="3:10" x14ac:dyDescent="0.3">
      <c r="C177" s="213" t="s">
        <v>20</v>
      </c>
      <c r="D177" s="210" t="s">
        <v>69</v>
      </c>
      <c r="E177" s="42">
        <f t="shared" si="16"/>
        <v>0</v>
      </c>
      <c r="F177" s="42">
        <f t="shared" si="16"/>
        <v>0</v>
      </c>
      <c r="G177" s="42">
        <f t="shared" si="16"/>
        <v>0</v>
      </c>
      <c r="H177" s="42">
        <f t="shared" si="16"/>
        <v>0</v>
      </c>
    </row>
    <row r="178" spans="3:10" x14ac:dyDescent="0.3">
      <c r="C178" s="213" t="s">
        <v>21</v>
      </c>
      <c r="D178" s="210" t="s">
        <v>69</v>
      </c>
      <c r="E178" s="42">
        <f t="shared" si="16"/>
        <v>0</v>
      </c>
      <c r="F178" s="42">
        <f t="shared" si="16"/>
        <v>0</v>
      </c>
      <c r="G178" s="42">
        <f t="shared" si="16"/>
        <v>0</v>
      </c>
      <c r="H178" s="42">
        <f t="shared" si="16"/>
        <v>0</v>
      </c>
    </row>
    <row r="179" spans="3:10" x14ac:dyDescent="0.3">
      <c r="C179" s="213" t="s">
        <v>22</v>
      </c>
      <c r="D179" s="210" t="s">
        <v>69</v>
      </c>
      <c r="E179" s="42">
        <f t="shared" si="16"/>
        <v>0</v>
      </c>
      <c r="F179" s="42">
        <f t="shared" si="16"/>
        <v>0</v>
      </c>
      <c r="G179" s="42">
        <f t="shared" si="16"/>
        <v>0</v>
      </c>
      <c r="H179" s="42">
        <f t="shared" si="16"/>
        <v>0</v>
      </c>
    </row>
    <row r="180" spans="3:10" x14ac:dyDescent="0.3">
      <c r="C180" s="216" t="s">
        <v>54</v>
      </c>
      <c r="D180" s="210" t="s">
        <v>69</v>
      </c>
      <c r="E180" s="45">
        <f>SUM(E171:E179)</f>
        <v>0</v>
      </c>
      <c r="F180" s="45">
        <f>SUM(F171:F179)</f>
        <v>0</v>
      </c>
      <c r="G180" s="45">
        <f>SUM(G171:G179)</f>
        <v>0</v>
      </c>
      <c r="H180" s="45">
        <f>SUM(H171:H179)</f>
        <v>0</v>
      </c>
      <c r="J180" s="45">
        <f>SUM(E180:H180)</f>
        <v>0</v>
      </c>
    </row>
    <row r="181" spans="3:10" x14ac:dyDescent="0.3">
      <c r="C181" s="209"/>
      <c r="D181" s="210"/>
      <c r="E181" s="42"/>
    </row>
    <row r="182" spans="3:10" x14ac:dyDescent="0.3">
      <c r="C182" s="51" t="s">
        <v>541</v>
      </c>
      <c r="D182" s="207"/>
      <c r="E182" s="208"/>
    </row>
    <row r="183" spans="3:10" x14ac:dyDescent="0.3">
      <c r="C183" s="209" t="s">
        <v>14</v>
      </c>
      <c r="D183" s="210" t="s">
        <v>542</v>
      </c>
      <c r="E183" s="42">
        <f t="shared" ref="E183:H191" si="17">E160*E23*E$71</f>
        <v>0</v>
      </c>
      <c r="F183" s="42">
        <f t="shared" si="17"/>
        <v>0</v>
      </c>
      <c r="G183" s="42">
        <f t="shared" si="17"/>
        <v>0</v>
      </c>
      <c r="H183" s="42">
        <f t="shared" si="17"/>
        <v>0</v>
      </c>
    </row>
    <row r="184" spans="3:10" x14ac:dyDescent="0.3">
      <c r="C184" s="213" t="s">
        <v>15</v>
      </c>
      <c r="D184" s="210" t="s">
        <v>542</v>
      </c>
      <c r="E184" s="42">
        <f t="shared" si="17"/>
        <v>0</v>
      </c>
      <c r="F184" s="42">
        <f t="shared" si="17"/>
        <v>0</v>
      </c>
      <c r="G184" s="42">
        <f t="shared" si="17"/>
        <v>0</v>
      </c>
      <c r="H184" s="42">
        <f t="shared" si="17"/>
        <v>0</v>
      </c>
    </row>
    <row r="185" spans="3:10" x14ac:dyDescent="0.3">
      <c r="C185" s="210" t="s">
        <v>16</v>
      </c>
      <c r="D185" s="210" t="s">
        <v>542</v>
      </c>
      <c r="E185" s="42">
        <f t="shared" si="17"/>
        <v>0</v>
      </c>
      <c r="F185" s="42">
        <f t="shared" si="17"/>
        <v>0</v>
      </c>
      <c r="G185" s="42">
        <f t="shared" si="17"/>
        <v>0</v>
      </c>
      <c r="H185" s="42">
        <f t="shared" si="17"/>
        <v>0</v>
      </c>
    </row>
    <row r="186" spans="3:10" x14ac:dyDescent="0.3">
      <c r="C186" s="210" t="s">
        <v>17</v>
      </c>
      <c r="D186" s="210" t="s">
        <v>542</v>
      </c>
      <c r="E186" s="42">
        <f t="shared" si="17"/>
        <v>0</v>
      </c>
      <c r="F186" s="42">
        <f t="shared" si="17"/>
        <v>0</v>
      </c>
      <c r="G186" s="42">
        <f t="shared" si="17"/>
        <v>0</v>
      </c>
      <c r="H186" s="42">
        <f t="shared" si="17"/>
        <v>0</v>
      </c>
    </row>
    <row r="187" spans="3:10" x14ac:dyDescent="0.3">
      <c r="C187" s="210" t="s">
        <v>18</v>
      </c>
      <c r="D187" s="210" t="s">
        <v>542</v>
      </c>
      <c r="E187" s="42">
        <f t="shared" si="17"/>
        <v>0</v>
      </c>
      <c r="F187" s="42">
        <f t="shared" si="17"/>
        <v>0</v>
      </c>
      <c r="G187" s="42">
        <f t="shared" si="17"/>
        <v>0</v>
      </c>
      <c r="H187" s="42">
        <f t="shared" si="17"/>
        <v>0</v>
      </c>
    </row>
    <row r="188" spans="3:10" x14ac:dyDescent="0.3">
      <c r="C188" s="210" t="s">
        <v>19</v>
      </c>
      <c r="D188" s="210" t="s">
        <v>542</v>
      </c>
      <c r="E188" s="42">
        <f t="shared" si="17"/>
        <v>0</v>
      </c>
      <c r="F188" s="42">
        <f t="shared" si="17"/>
        <v>0</v>
      </c>
      <c r="G188" s="42">
        <f t="shared" si="17"/>
        <v>0</v>
      </c>
      <c r="H188" s="42">
        <f t="shared" si="17"/>
        <v>0</v>
      </c>
    </row>
    <row r="189" spans="3:10" x14ac:dyDescent="0.3">
      <c r="C189" s="213" t="s">
        <v>20</v>
      </c>
      <c r="D189" s="210" t="s">
        <v>542</v>
      </c>
      <c r="E189" s="42">
        <f t="shared" si="17"/>
        <v>0</v>
      </c>
      <c r="F189" s="42">
        <f t="shared" si="17"/>
        <v>0</v>
      </c>
      <c r="G189" s="42">
        <f t="shared" si="17"/>
        <v>0</v>
      </c>
      <c r="H189" s="42">
        <f t="shared" si="17"/>
        <v>0</v>
      </c>
    </row>
    <row r="190" spans="3:10" x14ac:dyDescent="0.3">
      <c r="C190" s="213" t="s">
        <v>21</v>
      </c>
      <c r="D190" s="210" t="s">
        <v>542</v>
      </c>
      <c r="E190" s="42">
        <f t="shared" si="17"/>
        <v>0</v>
      </c>
      <c r="F190" s="42">
        <f t="shared" si="17"/>
        <v>0</v>
      </c>
      <c r="G190" s="42">
        <f t="shared" si="17"/>
        <v>0</v>
      </c>
      <c r="H190" s="42">
        <f t="shared" si="17"/>
        <v>0</v>
      </c>
    </row>
    <row r="191" spans="3:10" x14ac:dyDescent="0.3">
      <c r="C191" s="213" t="s">
        <v>22</v>
      </c>
      <c r="D191" s="210" t="s">
        <v>542</v>
      </c>
      <c r="E191" s="42">
        <f t="shared" si="17"/>
        <v>0</v>
      </c>
      <c r="F191" s="42">
        <f t="shared" si="17"/>
        <v>0</v>
      </c>
      <c r="G191" s="42">
        <f t="shared" si="17"/>
        <v>0</v>
      </c>
      <c r="H191" s="42">
        <f t="shared" si="17"/>
        <v>0</v>
      </c>
    </row>
    <row r="192" spans="3:10" x14ac:dyDescent="0.3">
      <c r="C192" s="216" t="s">
        <v>54</v>
      </c>
      <c r="D192" s="210" t="s">
        <v>542</v>
      </c>
      <c r="E192" s="45">
        <f>SUM(E183:E191)</f>
        <v>0</v>
      </c>
      <c r="F192" s="45">
        <f>SUM(F183:F191)</f>
        <v>0</v>
      </c>
      <c r="G192" s="45">
        <f>SUM(G183:G191)</f>
        <v>0</v>
      </c>
      <c r="H192" s="45">
        <f>SUM(H183:H191)</f>
        <v>0</v>
      </c>
      <c r="J192" s="45">
        <f>SUM(E192:H192)</f>
        <v>0</v>
      </c>
    </row>
    <row r="193" spans="3:12" x14ac:dyDescent="0.3">
      <c r="C193" s="209"/>
      <c r="D193" s="210"/>
      <c r="E193" s="42"/>
    </row>
    <row r="194" spans="3:12" x14ac:dyDescent="0.3">
      <c r="C194" s="51" t="s">
        <v>543</v>
      </c>
      <c r="D194" s="207"/>
      <c r="E194" s="208"/>
      <c r="F194" s="208"/>
      <c r="G194" s="208"/>
      <c r="H194" s="208"/>
      <c r="J194" s="26"/>
    </row>
    <row r="195" spans="3:12" x14ac:dyDescent="0.3">
      <c r="C195" s="209" t="s">
        <v>14</v>
      </c>
      <c r="D195" s="210" t="s">
        <v>69</v>
      </c>
      <c r="E195" s="211" t="e">
        <f t="shared" ref="E195:H203" si="18">E85*$J85*E160</f>
        <v>#VALUE!</v>
      </c>
      <c r="F195" s="211" t="e">
        <f t="shared" si="18"/>
        <v>#VALUE!</v>
      </c>
      <c r="G195" s="211" t="e">
        <f t="shared" si="18"/>
        <v>#VALUE!</v>
      </c>
      <c r="H195" s="211" t="e">
        <f t="shared" si="18"/>
        <v>#VALUE!</v>
      </c>
      <c r="J195" s="26"/>
    </row>
    <row r="196" spans="3:12" x14ac:dyDescent="0.3">
      <c r="C196" s="213" t="s">
        <v>15</v>
      </c>
      <c r="D196" s="210" t="s">
        <v>69</v>
      </c>
      <c r="E196" s="211" t="e">
        <f t="shared" si="18"/>
        <v>#VALUE!</v>
      </c>
      <c r="F196" s="211" t="e">
        <f t="shared" si="18"/>
        <v>#VALUE!</v>
      </c>
      <c r="G196" s="211" t="e">
        <f t="shared" si="18"/>
        <v>#VALUE!</v>
      </c>
      <c r="H196" s="211" t="e">
        <f t="shared" si="18"/>
        <v>#VALUE!</v>
      </c>
      <c r="J196" s="26"/>
    </row>
    <row r="197" spans="3:12" x14ac:dyDescent="0.3">
      <c r="C197" s="210" t="s">
        <v>16</v>
      </c>
      <c r="D197" s="210" t="s">
        <v>69</v>
      </c>
      <c r="E197" s="211" t="e">
        <f t="shared" si="18"/>
        <v>#VALUE!</v>
      </c>
      <c r="F197" s="211" t="e">
        <f t="shared" si="18"/>
        <v>#VALUE!</v>
      </c>
      <c r="G197" s="211" t="e">
        <f t="shared" si="18"/>
        <v>#VALUE!</v>
      </c>
      <c r="H197" s="211" t="e">
        <f t="shared" si="18"/>
        <v>#VALUE!</v>
      </c>
      <c r="J197" s="26"/>
    </row>
    <row r="198" spans="3:12" x14ac:dyDescent="0.3">
      <c r="C198" s="210" t="s">
        <v>17</v>
      </c>
      <c r="D198" s="210" t="s">
        <v>69</v>
      </c>
      <c r="E198" s="211" t="e">
        <f t="shared" si="18"/>
        <v>#VALUE!</v>
      </c>
      <c r="F198" s="211" t="e">
        <f t="shared" si="18"/>
        <v>#VALUE!</v>
      </c>
      <c r="G198" s="211" t="e">
        <f t="shared" si="18"/>
        <v>#VALUE!</v>
      </c>
      <c r="H198" s="211" t="e">
        <f t="shared" si="18"/>
        <v>#VALUE!</v>
      </c>
      <c r="J198" s="26"/>
    </row>
    <row r="199" spans="3:12" x14ac:dyDescent="0.3">
      <c r="C199" s="210" t="s">
        <v>18</v>
      </c>
      <c r="D199" s="210" t="s">
        <v>69</v>
      </c>
      <c r="E199" s="211" t="e">
        <f t="shared" si="18"/>
        <v>#VALUE!</v>
      </c>
      <c r="F199" s="211" t="e">
        <f t="shared" si="18"/>
        <v>#VALUE!</v>
      </c>
      <c r="G199" s="211" t="e">
        <f t="shared" si="18"/>
        <v>#VALUE!</v>
      </c>
      <c r="H199" s="211" t="e">
        <f t="shared" si="18"/>
        <v>#VALUE!</v>
      </c>
      <c r="J199" s="26"/>
    </row>
    <row r="200" spans="3:12" x14ac:dyDescent="0.3">
      <c r="C200" s="210" t="s">
        <v>19</v>
      </c>
      <c r="D200" s="210" t="s">
        <v>69</v>
      </c>
      <c r="E200" s="211" t="e">
        <f t="shared" si="18"/>
        <v>#VALUE!</v>
      </c>
      <c r="F200" s="211" t="e">
        <f t="shared" si="18"/>
        <v>#VALUE!</v>
      </c>
      <c r="G200" s="211" t="e">
        <f t="shared" si="18"/>
        <v>#VALUE!</v>
      </c>
      <c r="H200" s="211" t="e">
        <f t="shared" si="18"/>
        <v>#VALUE!</v>
      </c>
      <c r="J200" s="26"/>
    </row>
    <row r="201" spans="3:12" ht="15.95" customHeight="1" x14ac:dyDescent="0.3">
      <c r="C201" s="213" t="s">
        <v>20</v>
      </c>
      <c r="D201" s="210" t="s">
        <v>69</v>
      </c>
      <c r="E201" s="211" t="e">
        <f t="shared" si="18"/>
        <v>#VALUE!</v>
      </c>
      <c r="F201" s="211" t="e">
        <f t="shared" si="18"/>
        <v>#VALUE!</v>
      </c>
      <c r="G201" s="211" t="e">
        <f t="shared" si="18"/>
        <v>#VALUE!</v>
      </c>
      <c r="H201" s="211" t="e">
        <f t="shared" si="18"/>
        <v>#VALUE!</v>
      </c>
      <c r="J201" s="26"/>
    </row>
    <row r="202" spans="3:12" ht="15.95" customHeight="1" x14ac:dyDescent="0.3">
      <c r="C202" s="213" t="s">
        <v>21</v>
      </c>
      <c r="D202" s="210" t="s">
        <v>69</v>
      </c>
      <c r="E202" s="211" t="e">
        <f t="shared" si="18"/>
        <v>#VALUE!</v>
      </c>
      <c r="F202" s="211" t="e">
        <f t="shared" si="18"/>
        <v>#VALUE!</v>
      </c>
      <c r="G202" s="211" t="e">
        <f t="shared" si="18"/>
        <v>#VALUE!</v>
      </c>
      <c r="H202" s="211" t="e">
        <f t="shared" si="18"/>
        <v>#VALUE!</v>
      </c>
      <c r="J202" s="26"/>
      <c r="L202" s="17" t="s">
        <v>478</v>
      </c>
    </row>
    <row r="203" spans="3:12" x14ac:dyDescent="0.3">
      <c r="C203" s="213" t="s">
        <v>22</v>
      </c>
      <c r="D203" s="210" t="s">
        <v>69</v>
      </c>
      <c r="E203" s="211" t="e">
        <f t="shared" si="18"/>
        <v>#VALUE!</v>
      </c>
      <c r="F203" s="211" t="e">
        <f t="shared" si="18"/>
        <v>#VALUE!</v>
      </c>
      <c r="G203" s="211" t="e">
        <f t="shared" si="18"/>
        <v>#VALUE!</v>
      </c>
      <c r="H203" s="211" t="e">
        <f t="shared" si="18"/>
        <v>#VALUE!</v>
      </c>
      <c r="J203" s="26"/>
      <c r="L203" s="214" t="e">
        <f>AVERAGE(E195:H203)</f>
        <v>#VALUE!</v>
      </c>
    </row>
    <row r="204" spans="3:12" x14ac:dyDescent="0.3">
      <c r="C204" s="216" t="s">
        <v>54</v>
      </c>
      <c r="D204" s="224" t="s">
        <v>69</v>
      </c>
      <c r="E204" s="45" t="e">
        <f>SUM(E195:E203)</f>
        <v>#VALUE!</v>
      </c>
      <c r="F204" s="45" t="e">
        <f>SUM(F195:F203)</f>
        <v>#VALUE!</v>
      </c>
      <c r="G204" s="45" t="e">
        <f>SUM(G195:G203)</f>
        <v>#VALUE!</v>
      </c>
      <c r="H204" s="45" t="e">
        <f>SUM(H195:H203)</f>
        <v>#VALUE!</v>
      </c>
      <c r="J204" s="45" t="e">
        <f>SUM(E204:H204)</f>
        <v>#VALUE!</v>
      </c>
      <c r="L204" s="214"/>
    </row>
    <row r="205" spans="3:12" x14ac:dyDescent="0.3">
      <c r="C205" s="209"/>
      <c r="D205" s="210"/>
      <c r="E205" s="42"/>
      <c r="F205" s="211"/>
      <c r="G205" s="42"/>
      <c r="H205" s="42"/>
      <c r="J205" s="26"/>
    </row>
    <row r="206" spans="3:12" x14ac:dyDescent="0.3">
      <c r="C206" s="51" t="s">
        <v>522</v>
      </c>
      <c r="D206" s="84"/>
      <c r="E206" s="91"/>
    </row>
    <row r="207" spans="3:12" x14ac:dyDescent="0.3">
      <c r="C207" s="20" t="s">
        <v>14</v>
      </c>
      <c r="D207" s="84" t="s">
        <v>527</v>
      </c>
      <c r="E207" s="97" t="e">
        <f t="shared" ref="E207:H215" si="19">E160*E122</f>
        <v>#VALUE!</v>
      </c>
      <c r="F207" s="97" t="e">
        <f t="shared" si="19"/>
        <v>#VALUE!</v>
      </c>
      <c r="G207" s="97" t="e">
        <f t="shared" si="19"/>
        <v>#VALUE!</v>
      </c>
      <c r="H207" s="97" t="e">
        <f t="shared" si="19"/>
        <v>#VALUE!</v>
      </c>
    </row>
    <row r="208" spans="3:12" x14ac:dyDescent="0.3">
      <c r="C208" s="14" t="s">
        <v>15</v>
      </c>
      <c r="D208" s="84" t="s">
        <v>527</v>
      </c>
      <c r="E208" s="97">
        <f t="shared" si="19"/>
        <v>0</v>
      </c>
      <c r="F208" s="97">
        <f t="shared" si="19"/>
        <v>0</v>
      </c>
      <c r="G208" s="97">
        <f t="shared" si="19"/>
        <v>0</v>
      </c>
      <c r="H208" s="97">
        <f t="shared" si="19"/>
        <v>0</v>
      </c>
    </row>
    <row r="209" spans="3:10" x14ac:dyDescent="0.3">
      <c r="C209" s="15" t="s">
        <v>16</v>
      </c>
      <c r="D209" s="84" t="s">
        <v>527</v>
      </c>
      <c r="E209" s="97">
        <f t="shared" si="19"/>
        <v>0</v>
      </c>
      <c r="F209" s="97">
        <f t="shared" si="19"/>
        <v>0</v>
      </c>
      <c r="G209" s="97">
        <f t="shared" si="19"/>
        <v>0</v>
      </c>
      <c r="H209" s="97">
        <f t="shared" si="19"/>
        <v>0</v>
      </c>
    </row>
    <row r="210" spans="3:10" x14ac:dyDescent="0.3">
      <c r="C210" s="15" t="s">
        <v>17</v>
      </c>
      <c r="D210" s="84" t="s">
        <v>527</v>
      </c>
      <c r="E210" s="97">
        <f t="shared" si="19"/>
        <v>0</v>
      </c>
      <c r="F210" s="97">
        <f t="shared" si="19"/>
        <v>0</v>
      </c>
      <c r="G210" s="97">
        <f t="shared" si="19"/>
        <v>0</v>
      </c>
      <c r="H210" s="97">
        <f t="shared" si="19"/>
        <v>0</v>
      </c>
    </row>
    <row r="211" spans="3:10" x14ac:dyDescent="0.3">
      <c r="C211" s="15" t="s">
        <v>18</v>
      </c>
      <c r="D211" s="84" t="s">
        <v>527</v>
      </c>
      <c r="E211" s="97">
        <f t="shared" si="19"/>
        <v>0</v>
      </c>
      <c r="F211" s="97">
        <f t="shared" si="19"/>
        <v>0</v>
      </c>
      <c r="G211" s="97">
        <f t="shared" si="19"/>
        <v>0</v>
      </c>
      <c r="H211" s="97">
        <f t="shared" si="19"/>
        <v>0</v>
      </c>
    </row>
    <row r="212" spans="3:10" x14ac:dyDescent="0.3">
      <c r="C212" s="15" t="s">
        <v>19</v>
      </c>
      <c r="D212" s="84" t="s">
        <v>527</v>
      </c>
      <c r="E212" s="97">
        <f t="shared" si="19"/>
        <v>0</v>
      </c>
      <c r="F212" s="97">
        <f t="shared" si="19"/>
        <v>0</v>
      </c>
      <c r="G212" s="97">
        <f t="shared" si="19"/>
        <v>0</v>
      </c>
      <c r="H212" s="97">
        <f t="shared" si="19"/>
        <v>0</v>
      </c>
    </row>
    <row r="213" spans="3:10" x14ac:dyDescent="0.3">
      <c r="C213" s="14" t="s">
        <v>20</v>
      </c>
      <c r="D213" s="84" t="s">
        <v>527</v>
      </c>
      <c r="E213" s="97">
        <f t="shared" si="19"/>
        <v>0</v>
      </c>
      <c r="F213" s="97">
        <f t="shared" si="19"/>
        <v>0</v>
      </c>
      <c r="G213" s="97">
        <f t="shared" si="19"/>
        <v>0</v>
      </c>
      <c r="H213" s="97">
        <f t="shared" si="19"/>
        <v>0</v>
      </c>
    </row>
    <row r="214" spans="3:10" x14ac:dyDescent="0.3">
      <c r="C214" s="14" t="s">
        <v>21</v>
      </c>
      <c r="D214" s="84" t="s">
        <v>527</v>
      </c>
      <c r="E214" s="97" t="e">
        <f t="shared" si="19"/>
        <v>#N/A</v>
      </c>
      <c r="F214" s="97" t="e">
        <f t="shared" si="19"/>
        <v>#N/A</v>
      </c>
      <c r="G214" s="97" t="e">
        <f t="shared" si="19"/>
        <v>#N/A</v>
      </c>
      <c r="H214" s="97" t="e">
        <f t="shared" si="19"/>
        <v>#N/A</v>
      </c>
    </row>
    <row r="215" spans="3:10" x14ac:dyDescent="0.3">
      <c r="C215" s="14" t="s">
        <v>22</v>
      </c>
      <c r="D215" s="84" t="s">
        <v>527</v>
      </c>
      <c r="E215" s="97" t="e">
        <f t="shared" si="19"/>
        <v>#N/A</v>
      </c>
      <c r="F215" s="97" t="e">
        <f t="shared" si="19"/>
        <v>#N/A</v>
      </c>
      <c r="G215" s="97" t="e">
        <f t="shared" si="19"/>
        <v>#N/A</v>
      </c>
      <c r="H215" s="97" t="e">
        <f t="shared" si="19"/>
        <v>#N/A</v>
      </c>
    </row>
    <row r="216" spans="3:10" x14ac:dyDescent="0.3">
      <c r="C216" s="102" t="s">
        <v>54</v>
      </c>
      <c r="D216" s="133" t="s">
        <v>527</v>
      </c>
      <c r="E216" s="217" t="e">
        <f>SUM(E207:E215)</f>
        <v>#VALUE!</v>
      </c>
      <c r="F216" s="217" t="e">
        <f t="shared" ref="F216:H216" si="20">SUM(F207:F215)</f>
        <v>#VALUE!</v>
      </c>
      <c r="G216" s="217" t="e">
        <f t="shared" si="20"/>
        <v>#VALUE!</v>
      </c>
      <c r="H216" s="217" t="e">
        <f t="shared" si="20"/>
        <v>#VALUE!</v>
      </c>
      <c r="J216" s="217" t="e">
        <f>SUM(E216:H216)</f>
        <v>#VALUE!</v>
      </c>
    </row>
    <row r="217" spans="3:10" x14ac:dyDescent="0.3">
      <c r="C217" s="20"/>
      <c r="E217" s="42"/>
    </row>
    <row r="218" spans="3:10" x14ac:dyDescent="0.3">
      <c r="C218" s="51" t="s">
        <v>604</v>
      </c>
      <c r="D218" s="207"/>
      <c r="E218" s="208"/>
    </row>
    <row r="219" spans="3:10" x14ac:dyDescent="0.3">
      <c r="C219" s="209" t="s">
        <v>14</v>
      </c>
      <c r="D219" s="207" t="s">
        <v>605</v>
      </c>
      <c r="E219" s="97" t="e">
        <f t="shared" ref="E219:H227" si="21">E160*E122*E$71</f>
        <v>#VALUE!</v>
      </c>
      <c r="F219" s="97" t="e">
        <f t="shared" si="21"/>
        <v>#VALUE!</v>
      </c>
      <c r="G219" s="97" t="e">
        <f t="shared" si="21"/>
        <v>#VALUE!</v>
      </c>
      <c r="H219" s="97" t="e">
        <f t="shared" si="21"/>
        <v>#VALUE!</v>
      </c>
    </row>
    <row r="220" spans="3:10" x14ac:dyDescent="0.3">
      <c r="C220" s="213" t="s">
        <v>15</v>
      </c>
      <c r="D220" s="207" t="s">
        <v>605</v>
      </c>
      <c r="E220" s="97">
        <f t="shared" si="21"/>
        <v>0</v>
      </c>
      <c r="F220" s="97">
        <f t="shared" si="21"/>
        <v>0</v>
      </c>
      <c r="G220" s="97">
        <f t="shared" si="21"/>
        <v>0</v>
      </c>
      <c r="H220" s="97">
        <f t="shared" si="21"/>
        <v>0</v>
      </c>
    </row>
    <row r="221" spans="3:10" x14ac:dyDescent="0.3">
      <c r="C221" s="210" t="s">
        <v>16</v>
      </c>
      <c r="D221" s="207" t="s">
        <v>605</v>
      </c>
      <c r="E221" s="97">
        <f t="shared" si="21"/>
        <v>0</v>
      </c>
      <c r="F221" s="97">
        <f t="shared" si="21"/>
        <v>0</v>
      </c>
      <c r="G221" s="97">
        <f t="shared" si="21"/>
        <v>0</v>
      </c>
      <c r="H221" s="97">
        <f t="shared" si="21"/>
        <v>0</v>
      </c>
    </row>
    <row r="222" spans="3:10" x14ac:dyDescent="0.3">
      <c r="C222" s="210" t="s">
        <v>17</v>
      </c>
      <c r="D222" s="207" t="s">
        <v>605</v>
      </c>
      <c r="E222" s="97">
        <f t="shared" si="21"/>
        <v>0</v>
      </c>
      <c r="F222" s="97">
        <f t="shared" si="21"/>
        <v>0</v>
      </c>
      <c r="G222" s="97">
        <f t="shared" si="21"/>
        <v>0</v>
      </c>
      <c r="H222" s="97">
        <f t="shared" si="21"/>
        <v>0</v>
      </c>
    </row>
    <row r="223" spans="3:10" x14ac:dyDescent="0.3">
      <c r="C223" s="210" t="s">
        <v>18</v>
      </c>
      <c r="D223" s="207" t="s">
        <v>605</v>
      </c>
      <c r="E223" s="97">
        <f t="shared" si="21"/>
        <v>0</v>
      </c>
      <c r="F223" s="97">
        <f t="shared" si="21"/>
        <v>0</v>
      </c>
      <c r="G223" s="97">
        <f t="shared" si="21"/>
        <v>0</v>
      </c>
      <c r="H223" s="97">
        <f t="shared" si="21"/>
        <v>0</v>
      </c>
    </row>
    <row r="224" spans="3:10" x14ac:dyDescent="0.3">
      <c r="C224" s="210" t="s">
        <v>19</v>
      </c>
      <c r="D224" s="207" t="s">
        <v>605</v>
      </c>
      <c r="E224" s="97">
        <f t="shared" si="21"/>
        <v>0</v>
      </c>
      <c r="F224" s="97">
        <f t="shared" si="21"/>
        <v>0</v>
      </c>
      <c r="G224" s="97">
        <f t="shared" si="21"/>
        <v>0</v>
      </c>
      <c r="H224" s="97">
        <f t="shared" si="21"/>
        <v>0</v>
      </c>
    </row>
    <row r="225" spans="3:10" x14ac:dyDescent="0.3">
      <c r="C225" s="213" t="s">
        <v>20</v>
      </c>
      <c r="D225" s="207" t="s">
        <v>605</v>
      </c>
      <c r="E225" s="97">
        <f t="shared" si="21"/>
        <v>0</v>
      </c>
      <c r="F225" s="97">
        <f t="shared" si="21"/>
        <v>0</v>
      </c>
      <c r="G225" s="97">
        <f t="shared" si="21"/>
        <v>0</v>
      </c>
      <c r="H225" s="97">
        <f t="shared" si="21"/>
        <v>0</v>
      </c>
    </row>
    <row r="226" spans="3:10" x14ac:dyDescent="0.3">
      <c r="C226" s="213" t="s">
        <v>21</v>
      </c>
      <c r="D226" s="207" t="s">
        <v>605</v>
      </c>
      <c r="E226" s="97" t="e">
        <f t="shared" si="21"/>
        <v>#N/A</v>
      </c>
      <c r="F226" s="97" t="e">
        <f t="shared" si="21"/>
        <v>#N/A</v>
      </c>
      <c r="G226" s="97" t="e">
        <f t="shared" si="21"/>
        <v>#N/A</v>
      </c>
      <c r="H226" s="97" t="e">
        <f t="shared" si="21"/>
        <v>#N/A</v>
      </c>
    </row>
    <row r="227" spans="3:10" x14ac:dyDescent="0.3">
      <c r="C227" s="213" t="s">
        <v>22</v>
      </c>
      <c r="D227" s="207" t="s">
        <v>605</v>
      </c>
      <c r="E227" s="97" t="e">
        <f t="shared" si="21"/>
        <v>#N/A</v>
      </c>
      <c r="F227" s="97" t="e">
        <f t="shared" si="21"/>
        <v>#N/A</v>
      </c>
      <c r="G227" s="97" t="e">
        <f t="shared" si="21"/>
        <v>#N/A</v>
      </c>
      <c r="H227" s="97" t="e">
        <f t="shared" si="21"/>
        <v>#N/A</v>
      </c>
    </row>
    <row r="228" spans="3:10" x14ac:dyDescent="0.3">
      <c r="C228" s="216" t="s">
        <v>54</v>
      </c>
      <c r="D228" s="218" t="s">
        <v>605</v>
      </c>
      <c r="E228" s="217" t="e">
        <f>SUM(E219:E227)</f>
        <v>#VALUE!</v>
      </c>
      <c r="F228" s="217" t="e">
        <f>SUM(F219:F227)</f>
        <v>#VALUE!</v>
      </c>
      <c r="G228" s="217" t="e">
        <f>SUM(G219:G227)</f>
        <v>#VALUE!</v>
      </c>
      <c r="H228" s="217" t="e">
        <f>SUM(H219:H227)</f>
        <v>#VALUE!</v>
      </c>
      <c r="J228" s="217" t="e">
        <f>SUM(E228:H228)</f>
        <v>#VALUE!</v>
      </c>
    </row>
    <row r="229" spans="3:10" x14ac:dyDescent="0.3">
      <c r="C229" s="209"/>
      <c r="E229" s="42"/>
    </row>
    <row r="230" spans="3:10" x14ac:dyDescent="0.3">
      <c r="C230" s="51" t="s">
        <v>313</v>
      </c>
      <c r="E230" s="91"/>
    </row>
    <row r="231" spans="3:10" x14ac:dyDescent="0.3">
      <c r="C231" s="20" t="s">
        <v>14</v>
      </c>
      <c r="D231" s="84" t="s">
        <v>272</v>
      </c>
      <c r="E231" s="42" t="e">
        <f t="shared" ref="E231:H239" si="22">E160*E133</f>
        <v>#VALUE!</v>
      </c>
      <c r="F231" s="42" t="e">
        <f t="shared" si="22"/>
        <v>#VALUE!</v>
      </c>
      <c r="G231" s="42" t="e">
        <f t="shared" si="22"/>
        <v>#VALUE!</v>
      </c>
      <c r="H231" s="42" t="e">
        <f t="shared" si="22"/>
        <v>#VALUE!</v>
      </c>
    </row>
    <row r="232" spans="3:10" x14ac:dyDescent="0.3">
      <c r="C232" s="14" t="s">
        <v>15</v>
      </c>
      <c r="D232" s="84" t="s">
        <v>272</v>
      </c>
      <c r="E232" s="42">
        <f t="shared" si="22"/>
        <v>0</v>
      </c>
      <c r="F232" s="42">
        <f t="shared" si="22"/>
        <v>0</v>
      </c>
      <c r="G232" s="42">
        <f t="shared" si="22"/>
        <v>0</v>
      </c>
      <c r="H232" s="42">
        <f t="shared" si="22"/>
        <v>0</v>
      </c>
    </row>
    <row r="233" spans="3:10" x14ac:dyDescent="0.3">
      <c r="C233" s="15" t="s">
        <v>16</v>
      </c>
      <c r="D233" s="84" t="s">
        <v>272</v>
      </c>
      <c r="E233" s="42">
        <f t="shared" si="22"/>
        <v>0</v>
      </c>
      <c r="F233" s="42">
        <f t="shared" si="22"/>
        <v>0</v>
      </c>
      <c r="G233" s="42">
        <f t="shared" si="22"/>
        <v>0</v>
      </c>
      <c r="H233" s="42">
        <f t="shared" si="22"/>
        <v>0</v>
      </c>
    </row>
    <row r="234" spans="3:10" x14ac:dyDescent="0.3">
      <c r="C234" s="15" t="s">
        <v>17</v>
      </c>
      <c r="D234" s="84" t="s">
        <v>272</v>
      </c>
      <c r="E234" s="42">
        <f t="shared" si="22"/>
        <v>0</v>
      </c>
      <c r="F234" s="42">
        <f t="shared" si="22"/>
        <v>0</v>
      </c>
      <c r="G234" s="42">
        <f t="shared" si="22"/>
        <v>0</v>
      </c>
      <c r="H234" s="42">
        <f t="shared" si="22"/>
        <v>0</v>
      </c>
    </row>
    <row r="235" spans="3:10" x14ac:dyDescent="0.3">
      <c r="C235" s="15" t="s">
        <v>18</v>
      </c>
      <c r="D235" s="84" t="s">
        <v>272</v>
      </c>
      <c r="E235" s="42">
        <f t="shared" si="22"/>
        <v>0</v>
      </c>
      <c r="F235" s="42">
        <f t="shared" si="22"/>
        <v>0</v>
      </c>
      <c r="G235" s="42">
        <f t="shared" si="22"/>
        <v>0</v>
      </c>
      <c r="H235" s="42">
        <f t="shared" si="22"/>
        <v>0</v>
      </c>
    </row>
    <row r="236" spans="3:10" x14ac:dyDescent="0.3">
      <c r="C236" s="15" t="s">
        <v>19</v>
      </c>
      <c r="D236" s="84" t="s">
        <v>272</v>
      </c>
      <c r="E236" s="42">
        <f t="shared" si="22"/>
        <v>0</v>
      </c>
      <c r="F236" s="42">
        <f t="shared" si="22"/>
        <v>0</v>
      </c>
      <c r="G236" s="42">
        <f t="shared" si="22"/>
        <v>0</v>
      </c>
      <c r="H236" s="42">
        <f t="shared" si="22"/>
        <v>0</v>
      </c>
    </row>
    <row r="237" spans="3:10" x14ac:dyDescent="0.3">
      <c r="C237" s="14" t="s">
        <v>20</v>
      </c>
      <c r="D237" s="84" t="s">
        <v>272</v>
      </c>
      <c r="E237" s="42">
        <f t="shared" si="22"/>
        <v>0</v>
      </c>
      <c r="F237" s="42">
        <f t="shared" si="22"/>
        <v>0</v>
      </c>
      <c r="G237" s="42">
        <f t="shared" si="22"/>
        <v>0</v>
      </c>
      <c r="H237" s="42">
        <f t="shared" si="22"/>
        <v>0</v>
      </c>
    </row>
    <row r="238" spans="3:10" x14ac:dyDescent="0.3">
      <c r="C238" s="14" t="s">
        <v>21</v>
      </c>
      <c r="D238" s="84" t="s">
        <v>272</v>
      </c>
      <c r="E238" s="42" t="e">
        <f t="shared" si="22"/>
        <v>#N/A</v>
      </c>
      <c r="F238" s="42" t="e">
        <f t="shared" si="22"/>
        <v>#N/A</v>
      </c>
      <c r="G238" s="42" t="e">
        <f t="shared" si="22"/>
        <v>#N/A</v>
      </c>
      <c r="H238" s="42" t="e">
        <f t="shared" si="22"/>
        <v>#N/A</v>
      </c>
    </row>
    <row r="239" spans="3:10" x14ac:dyDescent="0.3">
      <c r="C239" s="14" t="s">
        <v>22</v>
      </c>
      <c r="D239" s="84" t="s">
        <v>272</v>
      </c>
      <c r="E239" s="42" t="e">
        <f t="shared" si="22"/>
        <v>#N/A</v>
      </c>
      <c r="F239" s="42" t="e">
        <f t="shared" si="22"/>
        <v>#N/A</v>
      </c>
      <c r="G239" s="42" t="e">
        <f t="shared" si="22"/>
        <v>#N/A</v>
      </c>
      <c r="H239" s="42" t="e">
        <f t="shared" si="22"/>
        <v>#N/A</v>
      </c>
    </row>
    <row r="240" spans="3:10" x14ac:dyDescent="0.3">
      <c r="C240" s="102" t="s">
        <v>54</v>
      </c>
      <c r="D240" s="84" t="s">
        <v>272</v>
      </c>
      <c r="E240" s="45" t="e">
        <f>SUM(E231:E239)</f>
        <v>#VALUE!</v>
      </c>
      <c r="F240" s="45" t="e">
        <f>SUM(F231:F239)</f>
        <v>#VALUE!</v>
      </c>
      <c r="G240" s="45" t="e">
        <f>SUM(G231:G239)</f>
        <v>#VALUE!</v>
      </c>
      <c r="H240" s="45" t="e">
        <f>SUM(H231:H239)</f>
        <v>#VALUE!</v>
      </c>
      <c r="J240" s="45" t="e">
        <f>SUM(E240:H240)</f>
        <v>#VALUE!</v>
      </c>
    </row>
    <row r="241" spans="3:10" x14ac:dyDescent="0.3">
      <c r="C241" s="203"/>
      <c r="D241" s="96"/>
      <c r="E241" s="199"/>
      <c r="F241" s="199"/>
      <c r="G241" s="199"/>
      <c r="H241" s="199"/>
      <c r="J241" s="199"/>
    </row>
    <row r="242" spans="3:10" x14ac:dyDescent="0.3">
      <c r="C242" s="51" t="s">
        <v>546</v>
      </c>
      <c r="E242" s="208"/>
    </row>
    <row r="243" spans="3:10" x14ac:dyDescent="0.3">
      <c r="C243" s="209" t="s">
        <v>14</v>
      </c>
      <c r="D243" s="207" t="s">
        <v>69</v>
      </c>
      <c r="E243" s="42" t="e">
        <f t="shared" ref="E243:E251" si="23">E160*E133*$J146</f>
        <v>#VALUE!</v>
      </c>
      <c r="F243" s="42" t="e">
        <f t="shared" ref="F243:H243" si="24">F160*F133*$J146</f>
        <v>#VALUE!</v>
      </c>
      <c r="G243" s="42" t="e">
        <f t="shared" si="24"/>
        <v>#VALUE!</v>
      </c>
      <c r="H243" s="42" t="e">
        <f t="shared" si="24"/>
        <v>#VALUE!</v>
      </c>
    </row>
    <row r="244" spans="3:10" x14ac:dyDescent="0.3">
      <c r="C244" s="213" t="s">
        <v>15</v>
      </c>
      <c r="D244" s="207" t="s">
        <v>69</v>
      </c>
      <c r="E244" s="42">
        <f t="shared" si="23"/>
        <v>0</v>
      </c>
      <c r="F244" s="42">
        <f t="shared" ref="F244:H251" si="25">F161*F134*$J147</f>
        <v>0</v>
      </c>
      <c r="G244" s="42">
        <f t="shared" si="25"/>
        <v>0</v>
      </c>
      <c r="H244" s="42">
        <f t="shared" si="25"/>
        <v>0</v>
      </c>
    </row>
    <row r="245" spans="3:10" x14ac:dyDescent="0.3">
      <c r="C245" s="210" t="s">
        <v>16</v>
      </c>
      <c r="D245" s="207" t="s">
        <v>69</v>
      </c>
      <c r="E245" s="42">
        <f t="shared" si="23"/>
        <v>0</v>
      </c>
      <c r="F245" s="42">
        <f t="shared" si="25"/>
        <v>0</v>
      </c>
      <c r="G245" s="42">
        <f t="shared" si="25"/>
        <v>0</v>
      </c>
      <c r="H245" s="42">
        <f t="shared" si="25"/>
        <v>0</v>
      </c>
    </row>
    <row r="246" spans="3:10" x14ac:dyDescent="0.3">
      <c r="C246" s="210" t="s">
        <v>17</v>
      </c>
      <c r="D246" s="207" t="s">
        <v>69</v>
      </c>
      <c r="E246" s="42">
        <f t="shared" si="23"/>
        <v>0</v>
      </c>
      <c r="F246" s="42">
        <f t="shared" si="25"/>
        <v>0</v>
      </c>
      <c r="G246" s="42">
        <f t="shared" si="25"/>
        <v>0</v>
      </c>
      <c r="H246" s="42">
        <f t="shared" si="25"/>
        <v>0</v>
      </c>
    </row>
    <row r="247" spans="3:10" x14ac:dyDescent="0.3">
      <c r="C247" s="210" t="s">
        <v>18</v>
      </c>
      <c r="D247" s="207" t="s">
        <v>69</v>
      </c>
      <c r="E247" s="42">
        <f t="shared" si="23"/>
        <v>0</v>
      </c>
      <c r="F247" s="42">
        <f t="shared" si="25"/>
        <v>0</v>
      </c>
      <c r="G247" s="42">
        <f t="shared" si="25"/>
        <v>0</v>
      </c>
      <c r="H247" s="42">
        <f t="shared" si="25"/>
        <v>0</v>
      </c>
    </row>
    <row r="248" spans="3:10" x14ac:dyDescent="0.3">
      <c r="C248" s="210" t="s">
        <v>19</v>
      </c>
      <c r="D248" s="207" t="s">
        <v>69</v>
      </c>
      <c r="E248" s="42">
        <f t="shared" si="23"/>
        <v>0</v>
      </c>
      <c r="F248" s="42">
        <f t="shared" si="25"/>
        <v>0</v>
      </c>
      <c r="G248" s="42">
        <f t="shared" si="25"/>
        <v>0</v>
      </c>
      <c r="H248" s="42">
        <f t="shared" si="25"/>
        <v>0</v>
      </c>
    </row>
    <row r="249" spans="3:10" x14ac:dyDescent="0.3">
      <c r="C249" s="213" t="s">
        <v>20</v>
      </c>
      <c r="D249" s="207" t="s">
        <v>69</v>
      </c>
      <c r="E249" s="42">
        <f t="shared" si="23"/>
        <v>0</v>
      </c>
      <c r="F249" s="42">
        <f t="shared" si="25"/>
        <v>0</v>
      </c>
      <c r="G249" s="42">
        <f t="shared" si="25"/>
        <v>0</v>
      </c>
      <c r="H249" s="42">
        <f t="shared" si="25"/>
        <v>0</v>
      </c>
    </row>
    <row r="250" spans="3:10" x14ac:dyDescent="0.3">
      <c r="C250" s="213" t="s">
        <v>21</v>
      </c>
      <c r="D250" s="207" t="s">
        <v>69</v>
      </c>
      <c r="E250" s="42" t="e">
        <f t="shared" si="23"/>
        <v>#N/A</v>
      </c>
      <c r="F250" s="42" t="e">
        <f t="shared" si="25"/>
        <v>#N/A</v>
      </c>
      <c r="G250" s="42" t="e">
        <f t="shared" si="25"/>
        <v>#N/A</v>
      </c>
      <c r="H250" s="42" t="e">
        <f t="shared" si="25"/>
        <v>#N/A</v>
      </c>
    </row>
    <row r="251" spans="3:10" x14ac:dyDescent="0.3">
      <c r="C251" s="213" t="s">
        <v>22</v>
      </c>
      <c r="D251" s="207" t="s">
        <v>69</v>
      </c>
      <c r="E251" s="42" t="e">
        <f t="shared" si="23"/>
        <v>#N/A</v>
      </c>
      <c r="F251" s="42" t="e">
        <f t="shared" si="25"/>
        <v>#N/A</v>
      </c>
      <c r="G251" s="42" t="e">
        <f t="shared" si="25"/>
        <v>#N/A</v>
      </c>
      <c r="H251" s="42" t="e">
        <f t="shared" si="25"/>
        <v>#N/A</v>
      </c>
    </row>
    <row r="252" spans="3:10" x14ac:dyDescent="0.3">
      <c r="C252" s="216" t="s">
        <v>54</v>
      </c>
      <c r="D252" s="207" t="s">
        <v>69</v>
      </c>
      <c r="E252" s="45" t="e">
        <f>SUM(E243:E251)</f>
        <v>#VALUE!</v>
      </c>
      <c r="F252" s="45" t="e">
        <f>SUM(F243:F251)</f>
        <v>#VALUE!</v>
      </c>
      <c r="G252" s="45" t="e">
        <f>SUM(G243:G251)</f>
        <v>#VALUE!</v>
      </c>
      <c r="H252" s="45" t="e">
        <f>SUM(H243:H251)</f>
        <v>#VALUE!</v>
      </c>
      <c r="J252" s="45" t="e">
        <f>SUM(E252:H252)</f>
        <v>#VALUE!</v>
      </c>
    </row>
    <row r="253" spans="3:10" x14ac:dyDescent="0.3">
      <c r="C253" s="220"/>
      <c r="D253" s="215"/>
      <c r="E253" s="214"/>
      <c r="F253" s="214"/>
      <c r="G253" s="214"/>
      <c r="H253" s="214"/>
      <c r="J253" s="214"/>
    </row>
    <row r="254" spans="3:10" x14ac:dyDescent="0.3">
      <c r="C254" s="51" t="s">
        <v>547</v>
      </c>
    </row>
    <row r="255" spans="3:10" x14ac:dyDescent="0.3">
      <c r="C255" s="209" t="s">
        <v>14</v>
      </c>
      <c r="D255" s="207" t="s">
        <v>548</v>
      </c>
      <c r="E255" s="160" t="e">
        <f t="shared" ref="E255:E263" si="26">E160*(M122+U122+AC122+AK122)</f>
        <v>#DIV/0!</v>
      </c>
      <c r="F255" s="160" t="e">
        <f t="shared" ref="F255:F263" si="27">F160*(N122+V122+AD122+AL122)</f>
        <v>#DIV/0!</v>
      </c>
      <c r="G255" s="160" t="e">
        <f t="shared" ref="G255:G263" si="28">G160*(O122+W122+AE122+AM122)</f>
        <v>#DIV/0!</v>
      </c>
      <c r="H255" s="160" t="e">
        <f t="shared" ref="H255:H263" si="29">H160*(P122+X122+AF122+AN122)</f>
        <v>#DIV/0!</v>
      </c>
    </row>
    <row r="256" spans="3:10" x14ac:dyDescent="0.3">
      <c r="C256" s="213" t="s">
        <v>15</v>
      </c>
      <c r="D256" s="207" t="s">
        <v>548</v>
      </c>
      <c r="E256" s="130">
        <f t="shared" si="26"/>
        <v>0</v>
      </c>
      <c r="F256" s="130">
        <f t="shared" si="27"/>
        <v>0</v>
      </c>
      <c r="G256" s="130">
        <f t="shared" si="28"/>
        <v>0</v>
      </c>
      <c r="H256" s="130">
        <f t="shared" si="29"/>
        <v>0</v>
      </c>
    </row>
    <row r="257" spans="3:10" x14ac:dyDescent="0.3">
      <c r="C257" s="210" t="s">
        <v>16</v>
      </c>
      <c r="D257" s="207" t="s">
        <v>548</v>
      </c>
      <c r="E257" s="130">
        <f t="shared" si="26"/>
        <v>0</v>
      </c>
      <c r="F257" s="130">
        <f t="shared" si="27"/>
        <v>0</v>
      </c>
      <c r="G257" s="130">
        <f t="shared" si="28"/>
        <v>0</v>
      </c>
      <c r="H257" s="130">
        <f t="shared" si="29"/>
        <v>0</v>
      </c>
    </row>
    <row r="258" spans="3:10" x14ac:dyDescent="0.3">
      <c r="C258" s="210" t="s">
        <v>17</v>
      </c>
      <c r="D258" s="207" t="s">
        <v>548</v>
      </c>
      <c r="E258" s="130">
        <f t="shared" si="26"/>
        <v>0</v>
      </c>
      <c r="F258" s="130">
        <f t="shared" si="27"/>
        <v>0</v>
      </c>
      <c r="G258" s="130">
        <f t="shared" si="28"/>
        <v>0</v>
      </c>
      <c r="H258" s="130">
        <f t="shared" si="29"/>
        <v>0</v>
      </c>
    </row>
    <row r="259" spans="3:10" x14ac:dyDescent="0.3">
      <c r="C259" s="210" t="s">
        <v>18</v>
      </c>
      <c r="D259" s="207" t="s">
        <v>548</v>
      </c>
      <c r="E259" s="130">
        <f t="shared" si="26"/>
        <v>0</v>
      </c>
      <c r="F259" s="130">
        <f t="shared" si="27"/>
        <v>0</v>
      </c>
      <c r="G259" s="130">
        <f t="shared" si="28"/>
        <v>0</v>
      </c>
      <c r="H259" s="130">
        <f t="shared" si="29"/>
        <v>0</v>
      </c>
    </row>
    <row r="260" spans="3:10" x14ac:dyDescent="0.3">
      <c r="C260" s="210" t="s">
        <v>19</v>
      </c>
      <c r="D260" s="207" t="s">
        <v>548</v>
      </c>
      <c r="E260" s="130">
        <f t="shared" si="26"/>
        <v>0</v>
      </c>
      <c r="F260" s="130">
        <f t="shared" si="27"/>
        <v>0</v>
      </c>
      <c r="G260" s="130">
        <f t="shared" si="28"/>
        <v>0</v>
      </c>
      <c r="H260" s="130">
        <f t="shared" si="29"/>
        <v>0</v>
      </c>
    </row>
    <row r="261" spans="3:10" x14ac:dyDescent="0.3">
      <c r="C261" s="213" t="s">
        <v>20</v>
      </c>
      <c r="D261" s="207" t="s">
        <v>548</v>
      </c>
      <c r="E261" s="130">
        <f t="shared" si="26"/>
        <v>0</v>
      </c>
      <c r="F261" s="130">
        <f t="shared" si="27"/>
        <v>0</v>
      </c>
      <c r="G261" s="130">
        <f t="shared" si="28"/>
        <v>0</v>
      </c>
      <c r="H261" s="130">
        <f t="shared" si="29"/>
        <v>0</v>
      </c>
    </row>
    <row r="262" spans="3:10" x14ac:dyDescent="0.3">
      <c r="C262" s="213" t="s">
        <v>21</v>
      </c>
      <c r="D262" s="207" t="s">
        <v>548</v>
      </c>
      <c r="E262" s="160" t="e">
        <f t="shared" si="26"/>
        <v>#DIV/0!</v>
      </c>
      <c r="F262" s="160" t="e">
        <f t="shared" si="27"/>
        <v>#DIV/0!</v>
      </c>
      <c r="G262" s="160" t="e">
        <f t="shared" si="28"/>
        <v>#DIV/0!</v>
      </c>
      <c r="H262" s="160" t="e">
        <f t="shared" si="29"/>
        <v>#DIV/0!</v>
      </c>
    </row>
    <row r="263" spans="3:10" x14ac:dyDescent="0.3">
      <c r="C263" s="213" t="s">
        <v>22</v>
      </c>
      <c r="D263" s="207" t="s">
        <v>548</v>
      </c>
      <c r="E263" s="160" t="e">
        <f t="shared" si="26"/>
        <v>#DIV/0!</v>
      </c>
      <c r="F263" s="160" t="e">
        <f t="shared" si="27"/>
        <v>#DIV/0!</v>
      </c>
      <c r="G263" s="160" t="e">
        <f t="shared" si="28"/>
        <v>#DIV/0!</v>
      </c>
      <c r="H263" s="160" t="e">
        <f t="shared" si="29"/>
        <v>#DIV/0!</v>
      </c>
    </row>
    <row r="264" spans="3:10" x14ac:dyDescent="0.3">
      <c r="C264" s="102" t="s">
        <v>54</v>
      </c>
      <c r="D264" s="84" t="s">
        <v>548</v>
      </c>
      <c r="E264" s="200" t="e">
        <f>SUM(E255:E263)</f>
        <v>#DIV/0!</v>
      </c>
      <c r="F264" s="200" t="e">
        <f t="shared" ref="F264:H264" si="30">SUM(F255:F263)</f>
        <v>#DIV/0!</v>
      </c>
      <c r="G264" s="200" t="e">
        <f t="shared" si="30"/>
        <v>#DIV/0!</v>
      </c>
      <c r="H264" s="200" t="e">
        <f t="shared" si="30"/>
        <v>#DIV/0!</v>
      </c>
      <c r="J264" s="200" t="e">
        <f>SUM(E264:H264)</f>
        <v>#DIV/0!</v>
      </c>
    </row>
    <row r="266" spans="3:10" x14ac:dyDescent="0.3">
      <c r="C266" s="51" t="s">
        <v>549</v>
      </c>
    </row>
    <row r="267" spans="3:10" x14ac:dyDescent="0.3">
      <c r="C267" s="209" t="s">
        <v>14</v>
      </c>
      <c r="D267" s="207" t="s">
        <v>550</v>
      </c>
      <c r="E267" s="160" t="e">
        <f t="shared" ref="E267:E275" si="31">E160*(M122+U122+AC122+AK122)*E$71</f>
        <v>#DIV/0!</v>
      </c>
      <c r="F267" s="160" t="e">
        <f t="shared" ref="F267:F275" si="32">F160*(N122+V122+AD122+AL122)*F$71</f>
        <v>#DIV/0!</v>
      </c>
      <c r="G267" s="160" t="e">
        <f t="shared" ref="G267:G275" si="33">G160*(O122+W122+AE122+AM122)*G$71</f>
        <v>#DIV/0!</v>
      </c>
      <c r="H267" s="160" t="e">
        <f t="shared" ref="H267:H275" si="34">H160*(P122+X122+AF122+AN122)*H$71</f>
        <v>#DIV/0!</v>
      </c>
    </row>
    <row r="268" spans="3:10" x14ac:dyDescent="0.3">
      <c r="C268" s="213" t="s">
        <v>15</v>
      </c>
      <c r="D268" s="207" t="s">
        <v>550</v>
      </c>
      <c r="E268" s="130">
        <f t="shared" si="31"/>
        <v>0</v>
      </c>
      <c r="F268" s="130">
        <f t="shared" si="32"/>
        <v>0</v>
      </c>
      <c r="G268" s="130">
        <f t="shared" si="33"/>
        <v>0</v>
      </c>
      <c r="H268" s="130">
        <f t="shared" si="34"/>
        <v>0</v>
      </c>
    </row>
    <row r="269" spans="3:10" x14ac:dyDescent="0.3">
      <c r="C269" s="210" t="s">
        <v>16</v>
      </c>
      <c r="D269" s="207" t="s">
        <v>550</v>
      </c>
      <c r="E269" s="130">
        <f t="shared" si="31"/>
        <v>0</v>
      </c>
      <c r="F269" s="130">
        <f t="shared" si="32"/>
        <v>0</v>
      </c>
      <c r="G269" s="130">
        <f t="shared" si="33"/>
        <v>0</v>
      </c>
      <c r="H269" s="130">
        <f t="shared" si="34"/>
        <v>0</v>
      </c>
    </row>
    <row r="270" spans="3:10" x14ac:dyDescent="0.3">
      <c r="C270" s="210" t="s">
        <v>17</v>
      </c>
      <c r="D270" s="207" t="s">
        <v>550</v>
      </c>
      <c r="E270" s="130">
        <f t="shared" si="31"/>
        <v>0</v>
      </c>
      <c r="F270" s="130">
        <f t="shared" si="32"/>
        <v>0</v>
      </c>
      <c r="G270" s="130">
        <f t="shared" si="33"/>
        <v>0</v>
      </c>
      <c r="H270" s="130">
        <f t="shared" si="34"/>
        <v>0</v>
      </c>
    </row>
    <row r="271" spans="3:10" x14ac:dyDescent="0.3">
      <c r="C271" s="210" t="s">
        <v>18</v>
      </c>
      <c r="D271" s="207" t="s">
        <v>550</v>
      </c>
      <c r="E271" s="130">
        <f t="shared" si="31"/>
        <v>0</v>
      </c>
      <c r="F271" s="130">
        <f t="shared" si="32"/>
        <v>0</v>
      </c>
      <c r="G271" s="130">
        <f t="shared" si="33"/>
        <v>0</v>
      </c>
      <c r="H271" s="130">
        <f t="shared" si="34"/>
        <v>0</v>
      </c>
    </row>
    <row r="272" spans="3:10" x14ac:dyDescent="0.3">
      <c r="C272" s="210" t="s">
        <v>19</v>
      </c>
      <c r="D272" s="207" t="s">
        <v>550</v>
      </c>
      <c r="E272" s="130">
        <f t="shared" si="31"/>
        <v>0</v>
      </c>
      <c r="F272" s="130">
        <f t="shared" si="32"/>
        <v>0</v>
      </c>
      <c r="G272" s="130">
        <f t="shared" si="33"/>
        <v>0</v>
      </c>
      <c r="H272" s="130">
        <f t="shared" si="34"/>
        <v>0</v>
      </c>
    </row>
    <row r="273" spans="3:10" x14ac:dyDescent="0.3">
      <c r="C273" s="213" t="s">
        <v>20</v>
      </c>
      <c r="D273" s="207" t="s">
        <v>550</v>
      </c>
      <c r="E273" s="130">
        <f t="shared" si="31"/>
        <v>0</v>
      </c>
      <c r="F273" s="130">
        <f t="shared" si="32"/>
        <v>0</v>
      </c>
      <c r="G273" s="130">
        <f t="shared" si="33"/>
        <v>0</v>
      </c>
      <c r="H273" s="130">
        <f t="shared" si="34"/>
        <v>0</v>
      </c>
    </row>
    <row r="274" spans="3:10" x14ac:dyDescent="0.3">
      <c r="C274" s="213" t="s">
        <v>21</v>
      </c>
      <c r="D274" s="207" t="s">
        <v>550</v>
      </c>
      <c r="E274" s="160" t="e">
        <f t="shared" si="31"/>
        <v>#DIV/0!</v>
      </c>
      <c r="F274" s="160" t="e">
        <f t="shared" si="32"/>
        <v>#DIV/0!</v>
      </c>
      <c r="G274" s="160" t="e">
        <f t="shared" si="33"/>
        <v>#DIV/0!</v>
      </c>
      <c r="H274" s="160" t="e">
        <f t="shared" si="34"/>
        <v>#DIV/0!</v>
      </c>
    </row>
    <row r="275" spans="3:10" x14ac:dyDescent="0.3">
      <c r="C275" s="213" t="s">
        <v>22</v>
      </c>
      <c r="D275" s="207" t="s">
        <v>550</v>
      </c>
      <c r="E275" s="160" t="e">
        <f t="shared" si="31"/>
        <v>#DIV/0!</v>
      </c>
      <c r="F275" s="160" t="e">
        <f t="shared" si="32"/>
        <v>#DIV/0!</v>
      </c>
      <c r="G275" s="160" t="e">
        <f t="shared" si="33"/>
        <v>#DIV/0!</v>
      </c>
      <c r="H275" s="160" t="e">
        <f t="shared" si="34"/>
        <v>#DIV/0!</v>
      </c>
    </row>
    <row r="276" spans="3:10" x14ac:dyDescent="0.3">
      <c r="C276" s="216" t="s">
        <v>54</v>
      </c>
      <c r="D276" s="207" t="s">
        <v>550</v>
      </c>
      <c r="E276" s="200" t="e">
        <f>SUM(E267:E275)</f>
        <v>#DIV/0!</v>
      </c>
      <c r="F276" s="200" t="e">
        <f>SUM(F267:F275)</f>
        <v>#DIV/0!</v>
      </c>
      <c r="G276" s="200" t="e">
        <f>SUM(G267:G275)</f>
        <v>#DIV/0!</v>
      </c>
      <c r="H276" s="200" t="e">
        <f>SUM(H267:H275)</f>
        <v>#DIV/0!</v>
      </c>
      <c r="J276" s="200" t="e">
        <f>SUM(E276:H276)</f>
        <v>#DIV/0!</v>
      </c>
    </row>
    <row r="278" spans="3:10" x14ac:dyDescent="0.3">
      <c r="C278" s="51" t="s">
        <v>537</v>
      </c>
    </row>
    <row r="279" spans="3:10" x14ac:dyDescent="0.3">
      <c r="C279" s="209" t="s">
        <v>14</v>
      </c>
      <c r="D279" s="207" t="s">
        <v>272</v>
      </c>
      <c r="E279" s="159" t="e">
        <f>E160*E146</f>
        <v>#DIV/0!</v>
      </c>
      <c r="F279" s="159" t="e">
        <f t="shared" ref="E279:H287" si="35">F160*F146</f>
        <v>#DIV/0!</v>
      </c>
      <c r="G279" s="159" t="e">
        <f t="shared" si="35"/>
        <v>#DIV/0!</v>
      </c>
      <c r="H279" s="159" t="e">
        <f t="shared" si="35"/>
        <v>#DIV/0!</v>
      </c>
    </row>
    <row r="280" spans="3:10" x14ac:dyDescent="0.3">
      <c r="C280" s="213" t="s">
        <v>15</v>
      </c>
      <c r="D280" s="207" t="s">
        <v>272</v>
      </c>
      <c r="E280" s="42">
        <f t="shared" si="35"/>
        <v>0</v>
      </c>
      <c r="F280" s="42">
        <f t="shared" si="35"/>
        <v>0</v>
      </c>
      <c r="G280" s="42">
        <f t="shared" si="35"/>
        <v>0</v>
      </c>
      <c r="H280" s="42">
        <f t="shared" si="35"/>
        <v>0</v>
      </c>
    </row>
    <row r="281" spans="3:10" x14ac:dyDescent="0.3">
      <c r="C281" s="210" t="s">
        <v>16</v>
      </c>
      <c r="D281" s="207" t="s">
        <v>272</v>
      </c>
      <c r="E281" s="42">
        <f t="shared" si="35"/>
        <v>0</v>
      </c>
      <c r="F281" s="42">
        <f t="shared" si="35"/>
        <v>0</v>
      </c>
      <c r="G281" s="42">
        <f t="shared" si="35"/>
        <v>0</v>
      </c>
      <c r="H281" s="42">
        <f t="shared" si="35"/>
        <v>0</v>
      </c>
    </row>
    <row r="282" spans="3:10" x14ac:dyDescent="0.3">
      <c r="C282" s="210" t="s">
        <v>17</v>
      </c>
      <c r="D282" s="207" t="s">
        <v>272</v>
      </c>
      <c r="E282" s="42">
        <f t="shared" si="35"/>
        <v>0</v>
      </c>
      <c r="F282" s="42">
        <f t="shared" si="35"/>
        <v>0</v>
      </c>
      <c r="G282" s="42">
        <f t="shared" si="35"/>
        <v>0</v>
      </c>
      <c r="H282" s="42">
        <f t="shared" si="35"/>
        <v>0</v>
      </c>
    </row>
    <row r="283" spans="3:10" x14ac:dyDescent="0.3">
      <c r="C283" s="210" t="s">
        <v>18</v>
      </c>
      <c r="D283" s="207" t="s">
        <v>272</v>
      </c>
      <c r="E283" s="42">
        <f t="shared" si="35"/>
        <v>0</v>
      </c>
      <c r="F283" s="42">
        <f t="shared" si="35"/>
        <v>0</v>
      </c>
      <c r="G283" s="42">
        <f t="shared" si="35"/>
        <v>0</v>
      </c>
      <c r="H283" s="42">
        <f t="shared" si="35"/>
        <v>0</v>
      </c>
    </row>
    <row r="284" spans="3:10" x14ac:dyDescent="0.3">
      <c r="C284" s="210" t="s">
        <v>19</v>
      </c>
      <c r="D284" s="207" t="s">
        <v>272</v>
      </c>
      <c r="E284" s="42">
        <f t="shared" si="35"/>
        <v>0</v>
      </c>
      <c r="F284" s="42">
        <f t="shared" si="35"/>
        <v>0</v>
      </c>
      <c r="G284" s="42">
        <f t="shared" si="35"/>
        <v>0</v>
      </c>
      <c r="H284" s="42">
        <f t="shared" si="35"/>
        <v>0</v>
      </c>
    </row>
    <row r="285" spans="3:10" x14ac:dyDescent="0.3">
      <c r="C285" s="213" t="s">
        <v>20</v>
      </c>
      <c r="D285" s="207" t="s">
        <v>272</v>
      </c>
      <c r="E285" s="42">
        <f t="shared" si="35"/>
        <v>0</v>
      </c>
      <c r="F285" s="42">
        <f t="shared" si="35"/>
        <v>0</v>
      </c>
      <c r="G285" s="42">
        <f t="shared" si="35"/>
        <v>0</v>
      </c>
      <c r="H285" s="42">
        <f t="shared" si="35"/>
        <v>0</v>
      </c>
    </row>
    <row r="286" spans="3:10" x14ac:dyDescent="0.3">
      <c r="C286" s="213" t="s">
        <v>21</v>
      </c>
      <c r="D286" s="207" t="s">
        <v>272</v>
      </c>
      <c r="E286" s="159" t="e">
        <f t="shared" si="35"/>
        <v>#DIV/0!</v>
      </c>
      <c r="F286" s="159" t="e">
        <f t="shared" si="35"/>
        <v>#DIV/0!</v>
      </c>
      <c r="G286" s="159" t="e">
        <f t="shared" si="35"/>
        <v>#DIV/0!</v>
      </c>
      <c r="H286" s="159" t="e">
        <f t="shared" si="35"/>
        <v>#DIV/0!</v>
      </c>
    </row>
    <row r="287" spans="3:10" x14ac:dyDescent="0.3">
      <c r="C287" s="213" t="s">
        <v>22</v>
      </c>
      <c r="D287" s="207" t="s">
        <v>272</v>
      </c>
      <c r="E287" s="159" t="e">
        <f t="shared" si="35"/>
        <v>#DIV/0!</v>
      </c>
      <c r="F287" s="159" t="e">
        <f t="shared" si="35"/>
        <v>#DIV/0!</v>
      </c>
      <c r="G287" s="159" t="e">
        <f t="shared" si="35"/>
        <v>#DIV/0!</v>
      </c>
      <c r="H287" s="159" t="e">
        <f t="shared" si="35"/>
        <v>#DIV/0!</v>
      </c>
    </row>
    <row r="288" spans="3:10" x14ac:dyDescent="0.3">
      <c r="C288" s="102" t="s">
        <v>54</v>
      </c>
      <c r="D288" s="133" t="s">
        <v>272</v>
      </c>
      <c r="E288" s="45" t="e">
        <f>SUM(E279:E287)</f>
        <v>#DIV/0!</v>
      </c>
      <c r="F288" s="45" t="e">
        <f t="shared" ref="F288:H288" si="36">SUM(F279:F287)</f>
        <v>#DIV/0!</v>
      </c>
      <c r="G288" s="45" t="e">
        <f t="shared" si="36"/>
        <v>#DIV/0!</v>
      </c>
      <c r="H288" s="45" t="e">
        <f t="shared" si="36"/>
        <v>#DIV/0!</v>
      </c>
      <c r="J288" s="45" t="e">
        <f>SUM(E288:H288)</f>
        <v>#DIV/0!</v>
      </c>
    </row>
    <row r="290" spans="3:10" x14ac:dyDescent="0.3">
      <c r="C290" s="51" t="s">
        <v>551</v>
      </c>
    </row>
    <row r="291" spans="3:10" x14ac:dyDescent="0.3">
      <c r="C291" s="209" t="s">
        <v>14</v>
      </c>
      <c r="D291" s="207" t="s">
        <v>69</v>
      </c>
      <c r="E291" s="159" t="e">
        <f t="shared" ref="E291:E299" si="37">E160*E146*$J146</f>
        <v>#DIV/0!</v>
      </c>
      <c r="F291" s="159" t="e">
        <f t="shared" ref="F291:H291" si="38">F160*F146*$J146</f>
        <v>#DIV/0!</v>
      </c>
      <c r="G291" s="159" t="e">
        <f t="shared" si="38"/>
        <v>#DIV/0!</v>
      </c>
      <c r="H291" s="159" t="e">
        <f t="shared" si="38"/>
        <v>#DIV/0!</v>
      </c>
    </row>
    <row r="292" spans="3:10" x14ac:dyDescent="0.3">
      <c r="C292" s="213" t="s">
        <v>15</v>
      </c>
      <c r="D292" s="207" t="s">
        <v>69</v>
      </c>
      <c r="E292" s="42">
        <f t="shared" si="37"/>
        <v>0</v>
      </c>
      <c r="F292" s="42">
        <f t="shared" ref="F292:H299" si="39">F161*F147*$J147</f>
        <v>0</v>
      </c>
      <c r="G292" s="42">
        <f t="shared" si="39"/>
        <v>0</v>
      </c>
      <c r="H292" s="42">
        <f t="shared" si="39"/>
        <v>0</v>
      </c>
    </row>
    <row r="293" spans="3:10" x14ac:dyDescent="0.3">
      <c r="C293" s="210" t="s">
        <v>16</v>
      </c>
      <c r="D293" s="207" t="s">
        <v>69</v>
      </c>
      <c r="E293" s="42">
        <f t="shared" si="37"/>
        <v>0</v>
      </c>
      <c r="F293" s="42">
        <f t="shared" si="39"/>
        <v>0</v>
      </c>
      <c r="G293" s="42">
        <f t="shared" si="39"/>
        <v>0</v>
      </c>
      <c r="H293" s="42">
        <f t="shared" si="39"/>
        <v>0</v>
      </c>
    </row>
    <row r="294" spans="3:10" x14ac:dyDescent="0.3">
      <c r="C294" s="210" t="s">
        <v>17</v>
      </c>
      <c r="D294" s="207" t="s">
        <v>69</v>
      </c>
      <c r="E294" s="42">
        <f t="shared" si="37"/>
        <v>0</v>
      </c>
      <c r="F294" s="42">
        <f t="shared" si="39"/>
        <v>0</v>
      </c>
      <c r="G294" s="42">
        <f t="shared" si="39"/>
        <v>0</v>
      </c>
      <c r="H294" s="42">
        <f t="shared" si="39"/>
        <v>0</v>
      </c>
    </row>
    <row r="295" spans="3:10" x14ac:dyDescent="0.3">
      <c r="C295" s="210" t="s">
        <v>18</v>
      </c>
      <c r="D295" s="207" t="s">
        <v>69</v>
      </c>
      <c r="E295" s="42">
        <f t="shared" si="37"/>
        <v>0</v>
      </c>
      <c r="F295" s="42">
        <f t="shared" si="39"/>
        <v>0</v>
      </c>
      <c r="G295" s="42">
        <f t="shared" si="39"/>
        <v>0</v>
      </c>
      <c r="H295" s="42">
        <f t="shared" si="39"/>
        <v>0</v>
      </c>
    </row>
    <row r="296" spans="3:10" x14ac:dyDescent="0.3">
      <c r="C296" s="210" t="s">
        <v>19</v>
      </c>
      <c r="D296" s="207" t="s">
        <v>69</v>
      </c>
      <c r="E296" s="42">
        <f t="shared" si="37"/>
        <v>0</v>
      </c>
      <c r="F296" s="42">
        <f t="shared" si="39"/>
        <v>0</v>
      </c>
      <c r="G296" s="42">
        <f t="shared" si="39"/>
        <v>0</v>
      </c>
      <c r="H296" s="42">
        <f t="shared" si="39"/>
        <v>0</v>
      </c>
    </row>
    <row r="297" spans="3:10" x14ac:dyDescent="0.3">
      <c r="C297" s="213" t="s">
        <v>20</v>
      </c>
      <c r="D297" s="207" t="s">
        <v>69</v>
      </c>
      <c r="E297" s="42">
        <f t="shared" si="37"/>
        <v>0</v>
      </c>
      <c r="F297" s="42">
        <f t="shared" si="39"/>
        <v>0</v>
      </c>
      <c r="G297" s="42">
        <f t="shared" si="39"/>
        <v>0</v>
      </c>
      <c r="H297" s="42">
        <f t="shared" si="39"/>
        <v>0</v>
      </c>
    </row>
    <row r="298" spans="3:10" x14ac:dyDescent="0.3">
      <c r="C298" s="213" t="s">
        <v>21</v>
      </c>
      <c r="D298" s="207" t="s">
        <v>69</v>
      </c>
      <c r="E298" s="159" t="e">
        <f t="shared" si="37"/>
        <v>#DIV/0!</v>
      </c>
      <c r="F298" s="159" t="e">
        <f t="shared" si="39"/>
        <v>#DIV/0!</v>
      </c>
      <c r="G298" s="159" t="e">
        <f t="shared" si="39"/>
        <v>#DIV/0!</v>
      </c>
      <c r="H298" s="159" t="e">
        <f t="shared" si="39"/>
        <v>#DIV/0!</v>
      </c>
    </row>
    <row r="299" spans="3:10" x14ac:dyDescent="0.3">
      <c r="C299" s="213" t="s">
        <v>22</v>
      </c>
      <c r="D299" s="207" t="s">
        <v>69</v>
      </c>
      <c r="E299" s="159" t="e">
        <f t="shared" si="37"/>
        <v>#DIV/0!</v>
      </c>
      <c r="F299" s="159" t="e">
        <f t="shared" si="39"/>
        <v>#DIV/0!</v>
      </c>
      <c r="G299" s="159" t="e">
        <f t="shared" si="39"/>
        <v>#DIV/0!</v>
      </c>
      <c r="H299" s="159" t="e">
        <f t="shared" si="39"/>
        <v>#DIV/0!</v>
      </c>
    </row>
    <row r="300" spans="3:10" x14ac:dyDescent="0.3">
      <c r="C300" s="216" t="s">
        <v>54</v>
      </c>
      <c r="D300" s="207" t="s">
        <v>69</v>
      </c>
      <c r="E300" s="45" t="e">
        <f>SUM(E291:E299)</f>
        <v>#DIV/0!</v>
      </c>
      <c r="F300" s="45" t="e">
        <f>SUM(F291:F299)</f>
        <v>#DIV/0!</v>
      </c>
      <c r="G300" s="45" t="e">
        <f>SUM(G291:G299)</f>
        <v>#DIV/0!</v>
      </c>
      <c r="H300" s="45" t="e">
        <f>SUM(H291:H299)</f>
        <v>#DIV/0!</v>
      </c>
      <c r="J300" s="45" t="e">
        <f>SUM(E300:H300)</f>
        <v>#DIV/0!</v>
      </c>
    </row>
  </sheetData>
  <sheetProtection algorithmName="SHA-512" hashValue="nF6EiK4UP1QorKvwtHaQjlVmiiiH9djrObaJwdqP7Phe/f64FgCfzh+RDPjHgcPUKVsKh0BmYcRiEo4opIAsRQ==" saltValue="uGrOew7OD351Jc57eCYvGA==" spinCount="100000" sheet="1" objects="1" scenarios="1"/>
  <mergeCells count="8">
    <mergeCell ref="E158:F158"/>
    <mergeCell ref="G158:H158"/>
    <mergeCell ref="E6:F6"/>
    <mergeCell ref="G6:H6"/>
    <mergeCell ref="E46:F46"/>
    <mergeCell ref="G46:H46"/>
    <mergeCell ref="E97:F97"/>
    <mergeCell ref="G97:H97"/>
  </mergeCells>
  <phoneticPr fontId="21" type="noConversion"/>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936CB-F443-4560-959A-0C3A8439A26E}">
  <sheetPr>
    <tabColor rgb="FF0070C0"/>
  </sheetPr>
  <dimension ref="B2:AN302"/>
  <sheetViews>
    <sheetView zoomScaleNormal="100" workbookViewId="0">
      <pane ySplit="7" topLeftCell="A8" activePane="bottomLeft" state="frozen"/>
      <selection activeCell="B1" sqref="B1"/>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35" width="8.85546875" style="17"/>
    <col min="36" max="36" width="11.85546875" style="17" customWidth="1"/>
    <col min="37" max="16384" width="8.85546875" style="17"/>
  </cols>
  <sheetData>
    <row r="2" spans="2:18" s="16" customFormat="1" ht="17.25" x14ac:dyDescent="0.3">
      <c r="C2" s="16" t="s">
        <v>145</v>
      </c>
      <c r="D2" s="16" t="s">
        <v>146</v>
      </c>
      <c r="M2" s="201"/>
    </row>
    <row r="3" spans="2:18" x14ac:dyDescent="0.3">
      <c r="M3" s="169"/>
    </row>
    <row r="4" spans="2:18" ht="20.25" x14ac:dyDescent="0.35">
      <c r="B4" s="77"/>
      <c r="C4" s="81" t="s">
        <v>606</v>
      </c>
      <c r="D4" s="76"/>
    </row>
    <row r="5" spans="2:18" s="18" customFormat="1" ht="17.25" thickBot="1" x14ac:dyDescent="0.35">
      <c r="B5" s="19" t="s">
        <v>153</v>
      </c>
      <c r="C5" s="19" t="s">
        <v>154</v>
      </c>
      <c r="D5" s="19" t="s">
        <v>32</v>
      </c>
      <c r="E5" s="19" t="s">
        <v>155</v>
      </c>
      <c r="F5" s="19"/>
      <c r="G5" s="19" t="s">
        <v>155</v>
      </c>
      <c r="H5" s="19"/>
      <c r="I5" s="19"/>
      <c r="J5" s="56" t="s">
        <v>156</v>
      </c>
      <c r="K5" s="56"/>
    </row>
    <row r="6" spans="2:18" s="30" customFormat="1" ht="18" thickTop="1" thickBot="1" x14ac:dyDescent="0.35">
      <c r="B6" s="28"/>
      <c r="C6" s="29" t="s">
        <v>157</v>
      </c>
      <c r="D6" s="29"/>
      <c r="E6" s="335" t="s">
        <v>5</v>
      </c>
      <c r="F6" s="335"/>
      <c r="G6" s="335" t="s">
        <v>6</v>
      </c>
      <c r="H6" s="335"/>
      <c r="I6" s="28"/>
      <c r="J6" s="28"/>
      <c r="K6" s="57"/>
    </row>
    <row r="7" spans="2:18" ht="18" thickTop="1" thickBot="1" x14ac:dyDescent="0.35">
      <c r="B7" s="19"/>
      <c r="C7" s="29" t="s">
        <v>158</v>
      </c>
      <c r="D7" s="29"/>
      <c r="E7" s="29" t="s">
        <v>7</v>
      </c>
      <c r="F7" s="29" t="s">
        <v>8</v>
      </c>
      <c r="G7" s="29" t="s">
        <v>7</v>
      </c>
      <c r="H7" s="29" t="s">
        <v>8</v>
      </c>
      <c r="I7" s="19"/>
      <c r="J7" s="19"/>
      <c r="K7" s="56"/>
    </row>
    <row r="8" spans="2:18" ht="17.25" thickTop="1" x14ac:dyDescent="0.3">
      <c r="C8" s="27" t="s">
        <v>607</v>
      </c>
      <c r="D8" s="15"/>
      <c r="L8" s="20"/>
    </row>
    <row r="9" spans="2:18" x14ac:dyDescent="0.3">
      <c r="C9" s="20" t="s">
        <v>608</v>
      </c>
      <c r="D9" s="15" t="s">
        <v>168</v>
      </c>
      <c r="E9" s="38">
        <v>12</v>
      </c>
      <c r="F9" s="38">
        <v>3</v>
      </c>
      <c r="G9" s="38">
        <v>6</v>
      </c>
      <c r="H9" s="38">
        <v>1</v>
      </c>
      <c r="J9" s="103" t="s">
        <v>609</v>
      </c>
      <c r="K9" s="103" t="s">
        <v>584</v>
      </c>
      <c r="L9" s="15" t="s">
        <v>610</v>
      </c>
      <c r="Q9" s="169"/>
    </row>
    <row r="10" spans="2:18" x14ac:dyDescent="0.3">
      <c r="C10" s="20" t="s">
        <v>611</v>
      </c>
      <c r="D10" s="15" t="s">
        <v>166</v>
      </c>
      <c r="E10" s="38">
        <v>2</v>
      </c>
      <c r="F10" s="38">
        <v>1</v>
      </c>
      <c r="G10" s="38">
        <v>2</v>
      </c>
      <c r="H10" s="38">
        <v>1</v>
      </c>
      <c r="J10" s="20" t="s">
        <v>612</v>
      </c>
      <c r="K10" s="82"/>
      <c r="N10" s="83">
        <v>1</v>
      </c>
      <c r="O10" s="84" t="s">
        <v>168</v>
      </c>
    </row>
    <row r="11" spans="2:18" ht="17.25" thickBot="1" x14ac:dyDescent="0.35">
      <c r="C11" s="20" t="s">
        <v>613</v>
      </c>
      <c r="D11" s="46"/>
      <c r="E11" s="97">
        <f>E9+E10*$N$10</f>
        <v>14</v>
      </c>
      <c r="F11" s="97">
        <f>F9+F10*$N$10</f>
        <v>4</v>
      </c>
      <c r="G11" s="97">
        <f>G9+G10*$N$10</f>
        <v>8</v>
      </c>
      <c r="H11" s="97">
        <f>H9+H10*$N$10</f>
        <v>2</v>
      </c>
      <c r="N11" s="36"/>
    </row>
    <row r="12" spans="2:18" ht="17.25" thickTop="1" x14ac:dyDescent="0.3">
      <c r="C12" s="27" t="s">
        <v>614</v>
      </c>
      <c r="D12" s="15"/>
      <c r="J12" s="102" t="s">
        <v>615</v>
      </c>
      <c r="L12" s="20"/>
      <c r="N12" s="102" t="s">
        <v>616</v>
      </c>
      <c r="P12" s="15" t="s">
        <v>617</v>
      </c>
      <c r="Q12" s="15" t="s">
        <v>618</v>
      </c>
    </row>
    <row r="13" spans="2:18" x14ac:dyDescent="0.3">
      <c r="C13" s="84" t="s">
        <v>615</v>
      </c>
      <c r="D13" s="15" t="s">
        <v>619</v>
      </c>
      <c r="E13" s="109">
        <v>1.6E-2</v>
      </c>
      <c r="F13" s="109">
        <f>E13</f>
        <v>1.6E-2</v>
      </c>
      <c r="G13" s="109">
        <f t="shared" ref="G13:H13" si="0">F13</f>
        <v>1.6E-2</v>
      </c>
      <c r="H13" s="109">
        <f t="shared" si="0"/>
        <v>1.6E-2</v>
      </c>
      <c r="J13" s="84" t="s">
        <v>620</v>
      </c>
      <c r="K13" s="103">
        <v>380</v>
      </c>
      <c r="L13" s="15" t="s">
        <v>619</v>
      </c>
      <c r="N13" s="84" t="s">
        <v>620</v>
      </c>
      <c r="O13" s="84" t="s">
        <v>621</v>
      </c>
      <c r="P13" s="84">
        <v>12</v>
      </c>
      <c r="Q13" s="84">
        <v>14</v>
      </c>
      <c r="R13" s="15" t="s">
        <v>622</v>
      </c>
    </row>
    <row r="14" spans="2:18" x14ac:dyDescent="0.3">
      <c r="C14" s="20" t="s">
        <v>623</v>
      </c>
      <c r="D14" s="15" t="s">
        <v>622</v>
      </c>
      <c r="E14" s="25">
        <v>20</v>
      </c>
      <c r="F14" s="25">
        <v>20</v>
      </c>
      <c r="G14" s="25">
        <v>20</v>
      </c>
      <c r="H14" s="25">
        <v>20</v>
      </c>
      <c r="J14" s="84" t="s">
        <v>624</v>
      </c>
      <c r="K14" s="103">
        <v>50</v>
      </c>
      <c r="L14" s="15" t="s">
        <v>619</v>
      </c>
      <c r="N14" s="84" t="s">
        <v>620</v>
      </c>
      <c r="O14" s="84" t="s">
        <v>625</v>
      </c>
      <c r="P14" s="84">
        <v>16</v>
      </c>
      <c r="Q14" s="84">
        <v>18</v>
      </c>
      <c r="R14" s="15" t="s">
        <v>622</v>
      </c>
    </row>
    <row r="15" spans="2:18" ht="17.25" thickBot="1" x14ac:dyDescent="0.35">
      <c r="C15" s="20" t="s">
        <v>626</v>
      </c>
      <c r="D15" s="15" t="s">
        <v>622</v>
      </c>
      <c r="E15" s="42">
        <f>E14+4</f>
        <v>24</v>
      </c>
      <c r="F15" s="42">
        <f t="shared" ref="F15:H15" si="1">F14+4</f>
        <v>24</v>
      </c>
      <c r="G15" s="42">
        <f t="shared" si="1"/>
        <v>24</v>
      </c>
      <c r="H15" s="42">
        <f t="shared" si="1"/>
        <v>24</v>
      </c>
      <c r="J15" s="20" t="s">
        <v>627</v>
      </c>
      <c r="K15" s="107">
        <v>0.45</v>
      </c>
      <c r="L15" s="15" t="s">
        <v>619</v>
      </c>
      <c r="N15" s="84" t="s">
        <v>620</v>
      </c>
      <c r="O15" s="84" t="s">
        <v>628</v>
      </c>
      <c r="P15" s="84">
        <v>20</v>
      </c>
      <c r="Q15" s="84">
        <v>22</v>
      </c>
      <c r="R15" s="15" t="s">
        <v>622</v>
      </c>
    </row>
    <row r="16" spans="2:18" ht="17.25" thickTop="1" x14ac:dyDescent="0.3">
      <c r="C16" s="27" t="s">
        <v>629</v>
      </c>
      <c r="L16" s="84"/>
      <c r="N16" s="84" t="s">
        <v>624</v>
      </c>
      <c r="O16" s="84" t="s">
        <v>628</v>
      </c>
      <c r="P16" s="84">
        <v>20</v>
      </c>
      <c r="Q16" s="84">
        <v>26.9</v>
      </c>
      <c r="R16" s="15" t="s">
        <v>622</v>
      </c>
    </row>
    <row r="17" spans="3:18" x14ac:dyDescent="0.3">
      <c r="C17" s="14" t="s">
        <v>630</v>
      </c>
      <c r="D17" s="15" t="s">
        <v>184</v>
      </c>
      <c r="E17" s="25">
        <v>70</v>
      </c>
      <c r="F17" s="25">
        <v>45</v>
      </c>
      <c r="G17" s="25">
        <v>60</v>
      </c>
      <c r="H17" s="25">
        <v>40</v>
      </c>
      <c r="N17" s="20" t="s">
        <v>627</v>
      </c>
      <c r="O17" s="84" t="s">
        <v>621</v>
      </c>
      <c r="P17" s="84">
        <v>12</v>
      </c>
      <c r="Q17" s="84">
        <v>16</v>
      </c>
      <c r="R17" s="15" t="s">
        <v>622</v>
      </c>
    </row>
    <row r="18" spans="3:18" x14ac:dyDescent="0.3">
      <c r="C18" s="14" t="s">
        <v>631</v>
      </c>
      <c r="D18" s="15" t="s">
        <v>184</v>
      </c>
      <c r="E18" s="25">
        <v>15</v>
      </c>
      <c r="F18" s="25">
        <v>15</v>
      </c>
      <c r="G18" s="25">
        <v>15</v>
      </c>
      <c r="H18" s="25">
        <v>15</v>
      </c>
      <c r="J18" s="102" t="s">
        <v>632</v>
      </c>
      <c r="N18" s="20" t="s">
        <v>627</v>
      </c>
      <c r="O18" s="84" t="s">
        <v>625</v>
      </c>
      <c r="P18" s="84">
        <v>16</v>
      </c>
      <c r="Q18" s="84">
        <v>20</v>
      </c>
      <c r="R18" s="15" t="s">
        <v>622</v>
      </c>
    </row>
    <row r="19" spans="3:18" ht="17.25" thickBot="1" x14ac:dyDescent="0.35">
      <c r="C19" s="36" t="s">
        <v>629</v>
      </c>
      <c r="D19" s="46" t="s">
        <v>633</v>
      </c>
      <c r="E19" s="42">
        <f>(2*PI()*E13*(E17-E18))/LN(E15/E14)</f>
        <v>30.326655649209407</v>
      </c>
      <c r="F19" s="42">
        <f t="shared" ref="F19:H19" si="2">(2*PI()*F13*(F17-F18))/LN(F15/F14)</f>
        <v>16.541812172296041</v>
      </c>
      <c r="G19" s="42">
        <f>(2*PI()*G13*(G17-G18))/LN(G15/G14)</f>
        <v>24.812718258444058</v>
      </c>
      <c r="H19" s="42">
        <f t="shared" si="2"/>
        <v>13.784843476913364</v>
      </c>
      <c r="J19" s="84" t="s">
        <v>634</v>
      </c>
      <c r="K19" s="103">
        <v>20</v>
      </c>
      <c r="L19" s="15" t="s">
        <v>622</v>
      </c>
      <c r="N19" s="20" t="s">
        <v>627</v>
      </c>
      <c r="O19" s="84" t="s">
        <v>628</v>
      </c>
      <c r="P19" s="84">
        <v>20</v>
      </c>
      <c r="Q19" s="96">
        <v>24</v>
      </c>
      <c r="R19" s="15" t="s">
        <v>622</v>
      </c>
    </row>
    <row r="20" spans="3:18" ht="17.25" thickTop="1" x14ac:dyDescent="0.3">
      <c r="C20" s="27" t="s">
        <v>635</v>
      </c>
      <c r="J20" s="84" t="s">
        <v>636</v>
      </c>
      <c r="K20" s="103">
        <v>30</v>
      </c>
      <c r="L20" s="15" t="s">
        <v>622</v>
      </c>
    </row>
    <row r="21" spans="3:18" ht="29.25" x14ac:dyDescent="0.3">
      <c r="C21" s="20" t="s">
        <v>637</v>
      </c>
      <c r="D21" s="15" t="s">
        <v>619</v>
      </c>
      <c r="E21" s="110">
        <v>3.5000000000000003E-2</v>
      </c>
      <c r="F21" s="109">
        <f>E21</f>
        <v>3.5000000000000003E-2</v>
      </c>
      <c r="G21" s="110">
        <v>3.5000000000000003E-2</v>
      </c>
      <c r="H21" s="109">
        <f>G21</f>
        <v>3.5000000000000003E-2</v>
      </c>
      <c r="J21" s="84" t="s">
        <v>638</v>
      </c>
      <c r="K21" s="107" t="s">
        <v>639</v>
      </c>
      <c r="L21" s="15" t="s">
        <v>622</v>
      </c>
      <c r="N21" s="102" t="s">
        <v>640</v>
      </c>
    </row>
    <row r="22" spans="3:18" x14ac:dyDescent="0.3">
      <c r="C22" s="20" t="s">
        <v>641</v>
      </c>
      <c r="D22" s="46" t="s">
        <v>622</v>
      </c>
      <c r="E22" s="25">
        <v>30</v>
      </c>
      <c r="F22" s="42">
        <f>E22</f>
        <v>30</v>
      </c>
      <c r="G22" s="25">
        <v>30</v>
      </c>
      <c r="H22" s="42">
        <f>G22</f>
        <v>30</v>
      </c>
      <c r="J22" s="84" t="s">
        <v>642</v>
      </c>
      <c r="K22" s="103">
        <v>100</v>
      </c>
      <c r="L22" s="15" t="s">
        <v>622</v>
      </c>
      <c r="N22" s="20" t="s">
        <v>643</v>
      </c>
      <c r="O22" s="20"/>
      <c r="P22" s="89" t="s">
        <v>644</v>
      </c>
    </row>
    <row r="23" spans="3:18" ht="17.25" thickBot="1" x14ac:dyDescent="0.35">
      <c r="C23" s="36" t="s">
        <v>635</v>
      </c>
      <c r="D23" s="46" t="s">
        <v>633</v>
      </c>
      <c r="E23" s="42">
        <f>(2*PI()*E21*(E17-E18))/LN((E15/2+E22)/(E14/2))</f>
        <v>8.4281667756693608</v>
      </c>
      <c r="F23" s="42">
        <f>(2*PI()*F21*(F17-F18))/LN((F15/2+F22)/(F14/2))</f>
        <v>4.5971818776378326</v>
      </c>
      <c r="G23" s="42">
        <f t="shared" ref="G23:H23" si="3">(2*PI()*G21*(G17-G18))/LN((G15/2+G22)/(G14/2))</f>
        <v>6.8957728164567484</v>
      </c>
      <c r="H23" s="42">
        <f t="shared" si="3"/>
        <v>3.8309848980315273</v>
      </c>
      <c r="N23" s="20" t="s">
        <v>645</v>
      </c>
      <c r="O23" s="20"/>
      <c r="P23" s="89" t="s">
        <v>646</v>
      </c>
    </row>
    <row r="24" spans="3:18" ht="17.25" thickTop="1" x14ac:dyDescent="0.3">
      <c r="C24" s="27" t="s">
        <v>647</v>
      </c>
      <c r="N24" s="20" t="s">
        <v>648</v>
      </c>
      <c r="O24" s="20"/>
      <c r="P24" s="89" t="s">
        <v>644</v>
      </c>
    </row>
    <row r="25" spans="3:18" x14ac:dyDescent="0.3">
      <c r="C25" s="14" t="s">
        <v>649</v>
      </c>
      <c r="D25" s="46" t="s">
        <v>575</v>
      </c>
      <c r="E25" s="25">
        <f>7*30*24</f>
        <v>5040</v>
      </c>
      <c r="F25" s="108">
        <f>E25</f>
        <v>5040</v>
      </c>
      <c r="G25" s="108">
        <f>F25</f>
        <v>5040</v>
      </c>
      <c r="H25" s="108">
        <f>G25</f>
        <v>5040</v>
      </c>
      <c r="N25" s="20" t="s">
        <v>650</v>
      </c>
      <c r="O25" s="20"/>
      <c r="P25" s="89" t="s">
        <v>651</v>
      </c>
    </row>
    <row r="26" spans="3:18" x14ac:dyDescent="0.3">
      <c r="C26" s="14" t="s">
        <v>652</v>
      </c>
      <c r="D26" s="46" t="s">
        <v>191</v>
      </c>
      <c r="E26" s="113">
        <f>(E19-E23)*E11*E25/10^3</f>
        <v>1545.1573749169859</v>
      </c>
      <c r="F26" s="113">
        <f>(F19-F23)*F11*F25/10^3</f>
        <v>240.80374674030946</v>
      </c>
      <c r="G26" s="113">
        <f t="shared" ref="G26:H26" si="4">(G19-G23)*G11*G25/10^3</f>
        <v>722.41124022092833</v>
      </c>
      <c r="H26" s="113">
        <f t="shared" si="4"/>
        <v>100.33489447512892</v>
      </c>
      <c r="N26" s="20" t="s">
        <v>653</v>
      </c>
      <c r="O26" s="20"/>
      <c r="P26" s="89" t="s">
        <v>654</v>
      </c>
    </row>
    <row r="27" spans="3:18" x14ac:dyDescent="0.3">
      <c r="C27" s="14" t="s">
        <v>655</v>
      </c>
      <c r="D27" s="46" t="s">
        <v>188</v>
      </c>
      <c r="E27" s="37">
        <v>0.6</v>
      </c>
      <c r="F27" s="114">
        <f>E27</f>
        <v>0.6</v>
      </c>
      <c r="G27" s="114">
        <f t="shared" ref="G27:H27" si="5">F27</f>
        <v>0.6</v>
      </c>
      <c r="H27" s="114">
        <f t="shared" si="5"/>
        <v>0.6</v>
      </c>
      <c r="K27" s="103" t="s">
        <v>656</v>
      </c>
      <c r="L27" s="15" t="s">
        <v>188</v>
      </c>
      <c r="N27" s="20"/>
      <c r="O27" s="20"/>
      <c r="P27" s="20"/>
    </row>
    <row r="28" spans="3:18" x14ac:dyDescent="0.3">
      <c r="C28" s="14" t="s">
        <v>476</v>
      </c>
      <c r="D28" s="46" t="s">
        <v>191</v>
      </c>
      <c r="E28" s="42">
        <f>MIN('Model homes'!E36*E27,E26)</f>
        <v>1353.3333333333333</v>
      </c>
      <c r="F28" s="42">
        <f>MIN('Model homes'!F36*F27,F26)</f>
        <v>240.80374674030946</v>
      </c>
      <c r="G28" s="42">
        <f>MIN('Model homes'!G36*G27,G26)</f>
        <v>638.79310344827593</v>
      </c>
      <c r="H28" s="42">
        <f>MIN('Model homes'!H36*H27,H26)</f>
        <v>84.375</v>
      </c>
    </row>
    <row r="29" spans="3:18" ht="17.25" thickBot="1" x14ac:dyDescent="0.35"/>
    <row r="30" spans="3:18" ht="17.25" thickTop="1" x14ac:dyDescent="0.3">
      <c r="C30" s="27" t="s">
        <v>477</v>
      </c>
      <c r="D30" s="22"/>
      <c r="E30" s="23"/>
      <c r="F30" s="24"/>
    </row>
    <row r="31" spans="3:18" x14ac:dyDescent="0.3">
      <c r="C31" s="20" t="s">
        <v>14</v>
      </c>
      <c r="D31" s="15" t="s">
        <v>191</v>
      </c>
      <c r="E31" s="42">
        <f>E$28/(1-'Model homes'!E$34)/'Model homes'!E38</f>
        <v>1550.2100038182514</v>
      </c>
      <c r="F31" s="42">
        <f>F$28/(1-'Model homes'!F$34)/'Model homes'!F38</f>
        <v>262.80011649057019</v>
      </c>
      <c r="G31" s="42">
        <f>G$28/(1-'Model homes'!G$34)/'Model homes'!G38</f>
        <v>756.95355308481567</v>
      </c>
      <c r="H31" s="42">
        <f>H$28/(1-'Model homes'!H$34)/'Model homes'!H38</f>
        <v>89.684311224489804</v>
      </c>
    </row>
    <row r="32" spans="3:18" x14ac:dyDescent="0.3">
      <c r="C32" s="14" t="s">
        <v>15</v>
      </c>
      <c r="D32" s="15" t="s">
        <v>191</v>
      </c>
      <c r="E32" s="42">
        <f>E$28/(1-'Model homes'!E$34)/'Model homes'!E39</f>
        <v>2313.3903133903132</v>
      </c>
      <c r="F32" s="42">
        <f>F$28/(1-'Model homes'!F$34)/'Model homes'!F39</f>
        <v>367.92016308679831</v>
      </c>
      <c r="G32" s="42">
        <f>G$28/(1-'Model homes'!G$34)/'Model homes'!G39</f>
        <v>1095.8879798392106</v>
      </c>
      <c r="H32" s="42">
        <f>H$28/(1-'Model homes'!H$34)/'Model homes'!H39</f>
        <v>125.55803571428572</v>
      </c>
    </row>
    <row r="33" spans="3:15" x14ac:dyDescent="0.3">
      <c r="C33" s="15" t="s">
        <v>16</v>
      </c>
      <c r="D33" s="15" t="s">
        <v>191</v>
      </c>
      <c r="E33" s="42">
        <f>E$28/(1-'Model homes'!E$34)/'Model homes'!E40</f>
        <v>1879.6296296296296</v>
      </c>
      <c r="F33" s="42">
        <f>F$28/(1-'Model homes'!F$34)/'Model homes'!F40</f>
        <v>306.60013590566524</v>
      </c>
      <c r="G33" s="42">
        <f>G$28/(1-'Model homes'!G$34)/'Model homes'!G40</f>
        <v>895.42066645398927</v>
      </c>
      <c r="H33" s="42">
        <f>H$28/(1-'Model homes'!H$34)/'Model homes'!H40</f>
        <v>104.63169642857143</v>
      </c>
    </row>
    <row r="34" spans="3:15" x14ac:dyDescent="0.3">
      <c r="C34" s="15" t="s">
        <v>17</v>
      </c>
      <c r="D34" s="15" t="s">
        <v>191</v>
      </c>
      <c r="E34" s="42">
        <f>E$28/(1-'Model homes'!E$34)/'Model homes'!E41</f>
        <v>2313.3903133903132</v>
      </c>
      <c r="F34" s="42">
        <f>F$28/(1-'Model homes'!F$34)/'Model homes'!F41</f>
        <v>367.92016308679831</v>
      </c>
      <c r="G34" s="42">
        <f>G$28/(1-'Model homes'!G$34)/'Model homes'!G41</f>
        <v>1129.6076099881095</v>
      </c>
      <c r="H34" s="42">
        <f>H$28/(1-'Model homes'!H$34)/'Model homes'!H41</f>
        <v>125.55803571428572</v>
      </c>
      <c r="J34" s="26"/>
    </row>
    <row r="35" spans="3:15" x14ac:dyDescent="0.3">
      <c r="C35" s="15" t="s">
        <v>18</v>
      </c>
      <c r="D35" s="15" t="s">
        <v>191</v>
      </c>
      <c r="E35" s="42">
        <f>E$28/(1-'Model homes'!E$34)/'Model homes'!E42</f>
        <v>1879.6296296296296</v>
      </c>
      <c r="F35" s="42">
        <f>F$28/(1-'Model homes'!F$34)/'Model homes'!F42</f>
        <v>302.99307548324566</v>
      </c>
      <c r="G35" s="42">
        <f>G$28/(1-'Model homes'!G$34)/'Model homes'!G42</f>
        <v>917.80618311533897</v>
      </c>
      <c r="H35" s="42">
        <f>H$28/(1-'Model homes'!H$34)/'Model homes'!H42</f>
        <v>103.40073529411765</v>
      </c>
      <c r="J35" s="26"/>
    </row>
    <row r="36" spans="3:15" x14ac:dyDescent="0.3">
      <c r="C36" s="15" t="s">
        <v>19</v>
      </c>
      <c r="D36" s="15" t="s">
        <v>191</v>
      </c>
      <c r="E36" s="42">
        <f>E$28/(1-'Model homes'!E$34)/'Model homes'!E43</f>
        <v>1879.6296296296296</v>
      </c>
      <c r="F36" s="42">
        <f>F$28/(1-'Model homes'!F$34)/'Model homes'!F43</f>
        <v>299.46990018692884</v>
      </c>
      <c r="G36" s="42">
        <f>G$28/(1-'Model homes'!G$34)/'Model homes'!G43</f>
        <v>917.80618311533897</v>
      </c>
      <c r="H36" s="42">
        <f>H$28/(1-'Model homes'!H$34)/'Model homes'!H43</f>
        <v>102.1984011627907</v>
      </c>
      <c r="J36" s="26"/>
    </row>
    <row r="37" spans="3:15" ht="15.95" customHeight="1" x14ac:dyDescent="0.3">
      <c r="C37" s="14" t="s">
        <v>20</v>
      </c>
      <c r="D37" s="15" t="s">
        <v>191</v>
      </c>
      <c r="E37" s="42">
        <f>E$28/(1-'Model homes'!E$34)/'Model homes'!E44</f>
        <v>1769.0631808278868</v>
      </c>
      <c r="F37" s="42">
        <f>F$28/(1-'Model homes'!F$34)/'Model homes'!F44</f>
        <v>296.02771742615954</v>
      </c>
      <c r="G37" s="42">
        <f>G$28/(1-'Model homes'!G$34)/'Model homes'!G44</f>
        <v>843.95970861180592</v>
      </c>
      <c r="H37" s="42">
        <f>H$28/(1-'Model homes'!H$34)/'Model homes'!H44</f>
        <v>101.02370689655173</v>
      </c>
      <c r="J37" s="26"/>
    </row>
    <row r="38" spans="3:15" ht="15.95" customHeight="1" x14ac:dyDescent="0.3">
      <c r="C38" s="14" t="s">
        <v>21</v>
      </c>
      <c r="D38" s="15" t="s">
        <v>191</v>
      </c>
      <c r="E38" s="42"/>
      <c r="F38" s="42"/>
      <c r="G38" s="42"/>
      <c r="H38" s="42"/>
      <c r="J38" s="17" t="s">
        <v>478</v>
      </c>
      <c r="K38" s="17" t="s">
        <v>479</v>
      </c>
    </row>
    <row r="39" spans="3:15" ht="17.25" thickBot="1" x14ac:dyDescent="0.35">
      <c r="C39" s="14" t="s">
        <v>22</v>
      </c>
      <c r="D39" s="33" t="s">
        <v>191</v>
      </c>
      <c r="E39" s="42">
        <f>E$28/(1-'Model homes'!E$34)/'Model homes'!E46</f>
        <v>518.90414883126471</v>
      </c>
      <c r="F39" s="42">
        <f>F$28/(1-'Model homes'!F$34)/'Model homes'!F46</f>
        <v>78.964928456464449</v>
      </c>
      <c r="G39" s="42">
        <f>G$28/(1-'Model homes'!G$34)/'Model homes'!G46</f>
        <v>225.1249261052495</v>
      </c>
      <c r="H39" s="42">
        <f>H$28/(1-'Model homes'!H$34)/'Model homes'!H46</f>
        <v>25.038322219682595</v>
      </c>
      <c r="J39" s="202">
        <f>AVERAGE(E31:H39)</f>
        <v>748.31884700744331</v>
      </c>
      <c r="K39" s="45" t="e">
        <f>AVERAGEIFS($E$31:$H$39,$J$102:$M$110,"yes")</f>
        <v>#DIV/0!</v>
      </c>
    </row>
    <row r="40" spans="3:15" ht="18" thickTop="1" thickBot="1" x14ac:dyDescent="0.35">
      <c r="C40" s="84"/>
      <c r="D40" s="84"/>
      <c r="M40" s="20"/>
      <c r="N40" s="20"/>
      <c r="O40" s="20"/>
    </row>
    <row r="41" spans="3:15" ht="17.25" thickTop="1" x14ac:dyDescent="0.3">
      <c r="C41" s="95" t="s">
        <v>480</v>
      </c>
      <c r="D41" s="22"/>
      <c r="E41" s="23"/>
      <c r="F41" s="24"/>
    </row>
    <row r="42" spans="3:15" x14ac:dyDescent="0.3">
      <c r="C42" s="20" t="s">
        <v>14</v>
      </c>
      <c r="D42" s="15" t="s">
        <v>301</v>
      </c>
      <c r="E42" s="104">
        <f>E31/('Model homes'!E48*'Model homes'!$E$21)</f>
        <v>6.666666666666668E-2</v>
      </c>
      <c r="F42" s="104">
        <f>F31/('Model homes'!F48*'Model homes'!$E$21)</f>
        <v>3.1273213862377858E-2</v>
      </c>
      <c r="G42" s="104">
        <f>G31/('Model homes'!G48*'Model homes'!G$21)</f>
        <v>8.9655172413793116E-3</v>
      </c>
      <c r="H42" s="104">
        <f>H31/('Model homes'!H48*'Model homes'!H$21)</f>
        <v>2.5000000000000005E-3</v>
      </c>
      <c r="J42" s="26"/>
    </row>
    <row r="43" spans="3:15" x14ac:dyDescent="0.3">
      <c r="C43" s="14" t="s">
        <v>15</v>
      </c>
      <c r="D43" s="15" t="s">
        <v>301</v>
      </c>
      <c r="E43" s="104">
        <f>E32/('Model homes'!E49*'Model homes'!$E$21)</f>
        <v>6.6666666666666666E-2</v>
      </c>
      <c r="F43" s="104">
        <f>F32/('Model homes'!F49*'Model homes'!$E$21)</f>
        <v>3.1273213862377858E-2</v>
      </c>
      <c r="G43" s="104">
        <f>G32/('Model homes'!G49*'Model homes'!G$21)</f>
        <v>8.9655172413793116E-3</v>
      </c>
      <c r="H43" s="104">
        <f>H32/('Model homes'!H49*'Model homes'!H$21)</f>
        <v>2.5000000000000005E-3</v>
      </c>
      <c r="J43" s="26"/>
    </row>
    <row r="44" spans="3:15" x14ac:dyDescent="0.3">
      <c r="C44" s="15" t="s">
        <v>16</v>
      </c>
      <c r="D44" s="15" t="s">
        <v>301</v>
      </c>
      <c r="E44" s="104">
        <f>E33/('Model homes'!E50*'Model homes'!$E$21)</f>
        <v>6.6666666666666666E-2</v>
      </c>
      <c r="F44" s="104">
        <f>F33/('Model homes'!F50*'Model homes'!$E$21)</f>
        <v>3.1273213862377858E-2</v>
      </c>
      <c r="G44" s="104">
        <f>G33/('Model homes'!G50*'Model homes'!G$21)</f>
        <v>8.9655172413793099E-3</v>
      </c>
      <c r="H44" s="104">
        <f>H33/('Model homes'!H50*'Model homes'!H$21)</f>
        <v>2.5000000000000005E-3</v>
      </c>
      <c r="J44" s="26"/>
    </row>
    <row r="45" spans="3:15" x14ac:dyDescent="0.3">
      <c r="C45" s="15" t="s">
        <v>17</v>
      </c>
      <c r="D45" s="15" t="s">
        <v>301</v>
      </c>
      <c r="E45" s="104">
        <f>E34/('Model homes'!E51*'Model homes'!$E$21)</f>
        <v>6.6666666666666666E-2</v>
      </c>
      <c r="F45" s="104">
        <f>F34/('Model homes'!F51*'Model homes'!$E$21)</f>
        <v>3.1273213862377858E-2</v>
      </c>
      <c r="G45" s="104">
        <f>G34/('Model homes'!G51*'Model homes'!G$21)</f>
        <v>8.9655172413793116E-3</v>
      </c>
      <c r="H45" s="104">
        <f>H34/('Model homes'!H51*'Model homes'!H$21)</f>
        <v>2.5000000000000005E-3</v>
      </c>
      <c r="J45" s="26"/>
    </row>
    <row r="46" spans="3:15" x14ac:dyDescent="0.3">
      <c r="C46" s="15" t="s">
        <v>18</v>
      </c>
      <c r="D46" s="15" t="s">
        <v>301</v>
      </c>
      <c r="E46" s="104">
        <f>E35/('Model homes'!E52*'Model homes'!$E$21)</f>
        <v>6.6666666666666666E-2</v>
      </c>
      <c r="F46" s="104">
        <f>F35/('Model homes'!F52*'Model homes'!$E$21)</f>
        <v>3.1273213862377858E-2</v>
      </c>
      <c r="G46" s="104">
        <f>G35/('Model homes'!G52*'Model homes'!G$21)</f>
        <v>8.9655172413793116E-3</v>
      </c>
      <c r="H46" s="104">
        <f>H35/('Model homes'!H52*'Model homes'!H$21)</f>
        <v>2.5000000000000001E-3</v>
      </c>
      <c r="J46" s="26"/>
    </row>
    <row r="47" spans="3:15" x14ac:dyDescent="0.3">
      <c r="C47" s="15" t="s">
        <v>19</v>
      </c>
      <c r="D47" s="15" t="s">
        <v>301</v>
      </c>
      <c r="E47" s="104">
        <f>E36/('Model homes'!E53*'Model homes'!$E$21)</f>
        <v>6.6666666666666666E-2</v>
      </c>
      <c r="F47" s="104">
        <f>F36/('Model homes'!F53*'Model homes'!$E$21)</f>
        <v>3.1273213862377858E-2</v>
      </c>
      <c r="G47" s="104">
        <f>G36/('Model homes'!G53*'Model homes'!G$21)</f>
        <v>8.9655172413793116E-3</v>
      </c>
      <c r="H47" s="104">
        <f>H36/('Model homes'!H53*'Model homes'!H$21)</f>
        <v>2.5000000000000005E-3</v>
      </c>
      <c r="J47" s="26"/>
    </row>
    <row r="48" spans="3:15" ht="15.95" customHeight="1" x14ac:dyDescent="0.3">
      <c r="C48" s="14" t="s">
        <v>20</v>
      </c>
      <c r="D48" s="15" t="s">
        <v>301</v>
      </c>
      <c r="E48" s="104">
        <f>E37/('Model homes'!E54*'Model homes'!$E$21)</f>
        <v>6.6666666666666666E-2</v>
      </c>
      <c r="F48" s="104">
        <f>F37/('Model homes'!F54*'Model homes'!$E$21)</f>
        <v>3.1273213862377858E-2</v>
      </c>
      <c r="G48" s="104">
        <f>G37/('Model homes'!G54*'Model homes'!G$21)</f>
        <v>8.9655172413793099E-3</v>
      </c>
      <c r="H48" s="104">
        <f>H37/('Model homes'!H54*'Model homes'!H$21)</f>
        <v>2.5000000000000001E-3</v>
      </c>
      <c r="J48" s="26"/>
    </row>
    <row r="49" spans="2:15" ht="15.95" customHeight="1" x14ac:dyDescent="0.3">
      <c r="C49" s="14" t="s">
        <v>21</v>
      </c>
      <c r="D49" s="15" t="s">
        <v>301</v>
      </c>
      <c r="E49" s="104"/>
      <c r="F49" s="104"/>
      <c r="G49" s="104"/>
      <c r="H49" s="104"/>
      <c r="J49" s="26"/>
    </row>
    <row r="50" spans="2:15" x14ac:dyDescent="0.3">
      <c r="C50" s="14" t="s">
        <v>22</v>
      </c>
      <c r="D50" s="15" t="s">
        <v>301</v>
      </c>
      <c r="E50" s="104">
        <f>E39/('Model homes'!E56*'Model homes'!$E$21)</f>
        <v>6.6666666666666666E-2</v>
      </c>
      <c r="F50" s="104">
        <f>F39/('Model homes'!F56*'Model homes'!$E$21)</f>
        <v>3.1273213862377858E-2</v>
      </c>
      <c r="G50" s="104">
        <f>G39/('Model homes'!G56*'Model homes'!G$21)</f>
        <v>8.9655172413793116E-3</v>
      </c>
      <c r="H50" s="104">
        <f>H39/('Model homes'!H56*'Model homes'!H$21)</f>
        <v>2.5000000000000005E-3</v>
      </c>
      <c r="J50" s="26" t="s">
        <v>39</v>
      </c>
    </row>
    <row r="51" spans="2:15" x14ac:dyDescent="0.3">
      <c r="C51" s="84"/>
      <c r="D51" s="84"/>
    </row>
    <row r="52" spans="2:15" ht="20.25" x14ac:dyDescent="0.35">
      <c r="C52" s="81" t="s">
        <v>578</v>
      </c>
    </row>
    <row r="53" spans="2:15" s="18" customFormat="1" ht="17.25" thickBot="1" x14ac:dyDescent="0.35">
      <c r="B53" s="19" t="s">
        <v>153</v>
      </c>
      <c r="C53" s="19" t="s">
        <v>154</v>
      </c>
      <c r="D53" s="19" t="s">
        <v>32</v>
      </c>
      <c r="E53" s="19" t="s">
        <v>155</v>
      </c>
      <c r="F53" s="19"/>
      <c r="G53" s="19" t="s">
        <v>155</v>
      </c>
      <c r="H53" s="19"/>
      <c r="I53" s="19"/>
      <c r="J53" s="56" t="s">
        <v>156</v>
      </c>
      <c r="K53" s="56"/>
    </row>
    <row r="54" spans="2:15" s="30" customFormat="1" ht="18" thickTop="1" thickBot="1" x14ac:dyDescent="0.35">
      <c r="B54" s="28"/>
      <c r="C54" s="29" t="s">
        <v>157</v>
      </c>
      <c r="D54" s="29"/>
      <c r="E54" s="335" t="s">
        <v>5</v>
      </c>
      <c r="F54" s="335"/>
      <c r="G54" s="335" t="s">
        <v>6</v>
      </c>
      <c r="H54" s="335"/>
      <c r="I54" s="28"/>
      <c r="J54" s="28"/>
      <c r="K54" s="57"/>
      <c r="M54" s="20"/>
    </row>
    <row r="55" spans="2:15" ht="18" thickTop="1" thickBot="1" x14ac:dyDescent="0.35">
      <c r="B55" s="19"/>
      <c r="C55" s="29" t="s">
        <v>158</v>
      </c>
      <c r="D55" s="29"/>
      <c r="E55" s="29" t="s">
        <v>7</v>
      </c>
      <c r="F55" s="29" t="s">
        <v>8</v>
      </c>
      <c r="G55" s="29" t="s">
        <v>7</v>
      </c>
      <c r="H55" s="29" t="s">
        <v>8</v>
      </c>
      <c r="I55" s="19"/>
      <c r="J55" s="19" t="s">
        <v>482</v>
      </c>
      <c r="K55" s="56" t="s">
        <v>483</v>
      </c>
      <c r="M55" s="82"/>
      <c r="N55" s="82"/>
    </row>
    <row r="56" spans="2:15" customFormat="1" ht="17.25" thickTop="1" x14ac:dyDescent="0.3">
      <c r="C56" s="20" t="s">
        <v>608</v>
      </c>
      <c r="D56" s="15" t="s">
        <v>168</v>
      </c>
      <c r="E56" s="97">
        <f>E9</f>
        <v>12</v>
      </c>
      <c r="F56" s="97">
        <f t="shared" ref="F56:H56" si="6">F9</f>
        <v>3</v>
      </c>
      <c r="G56" s="97">
        <f t="shared" si="6"/>
        <v>6</v>
      </c>
      <c r="H56" s="97">
        <f t="shared" si="6"/>
        <v>1</v>
      </c>
      <c r="O56" s="17"/>
    </row>
    <row r="57" spans="2:15" customFormat="1" x14ac:dyDescent="0.3">
      <c r="C57" s="15" t="s">
        <v>484</v>
      </c>
      <c r="D57" s="15" t="s">
        <v>485</v>
      </c>
      <c r="E57" s="38">
        <v>2</v>
      </c>
      <c r="F57" s="97">
        <f>E57</f>
        <v>2</v>
      </c>
      <c r="G57" s="38"/>
      <c r="H57" s="97">
        <f>G57</f>
        <v>0</v>
      </c>
      <c r="J57" s="83" t="s">
        <v>657</v>
      </c>
      <c r="K57" s="15" t="s">
        <v>485</v>
      </c>
      <c r="O57" s="17"/>
    </row>
    <row r="58" spans="2:15" customFormat="1" x14ac:dyDescent="0.3">
      <c r="C58" s="15" t="s">
        <v>487</v>
      </c>
      <c r="D58" s="15" t="s">
        <v>485</v>
      </c>
      <c r="E58" s="38">
        <v>2</v>
      </c>
      <c r="F58" s="97">
        <f>E58</f>
        <v>2</v>
      </c>
      <c r="G58" s="38">
        <v>1</v>
      </c>
      <c r="H58" s="97">
        <f>G58</f>
        <v>1</v>
      </c>
      <c r="J58" s="83" t="s">
        <v>657</v>
      </c>
      <c r="K58" s="15" t="s">
        <v>485</v>
      </c>
      <c r="O58" s="17"/>
    </row>
    <row r="59" spans="2:15" customFormat="1" x14ac:dyDescent="0.3">
      <c r="C59" s="15" t="s">
        <v>488</v>
      </c>
      <c r="D59" s="15" t="s">
        <v>485</v>
      </c>
      <c r="E59" s="97">
        <f>SUM(E57:E58)</f>
        <v>4</v>
      </c>
      <c r="F59" s="97">
        <f t="shared" ref="F59:H59" si="7">SUM(F57:F58)</f>
        <v>4</v>
      </c>
      <c r="G59" s="97">
        <f t="shared" si="7"/>
        <v>1</v>
      </c>
      <c r="H59" s="97">
        <f t="shared" si="7"/>
        <v>1</v>
      </c>
      <c r="O59" s="17"/>
    </row>
    <row r="60" spans="2:15" customFormat="1" x14ac:dyDescent="0.3">
      <c r="C60" s="15" t="s">
        <v>489</v>
      </c>
      <c r="D60" s="15" t="s">
        <v>485</v>
      </c>
      <c r="E60" s="38">
        <v>2</v>
      </c>
      <c r="F60" s="38">
        <v>1.5</v>
      </c>
      <c r="G60" s="38">
        <v>2</v>
      </c>
      <c r="H60" s="38">
        <v>2</v>
      </c>
      <c r="I60" s="17"/>
      <c r="J60" s="83" t="s">
        <v>658</v>
      </c>
      <c r="K60" s="15" t="s">
        <v>485</v>
      </c>
      <c r="M60" s="26" t="s">
        <v>659</v>
      </c>
      <c r="O60" s="17"/>
    </row>
    <row r="61" spans="2:15" customFormat="1" x14ac:dyDescent="0.3">
      <c r="C61" s="105" t="s">
        <v>491</v>
      </c>
      <c r="D61" s="15" t="s">
        <v>485</v>
      </c>
      <c r="E61" s="97">
        <f>E59+E60</f>
        <v>6</v>
      </c>
      <c r="F61" s="97">
        <f t="shared" ref="F61:H61" si="8">F59+F60</f>
        <v>5.5</v>
      </c>
      <c r="G61" s="97">
        <f t="shared" si="8"/>
        <v>3</v>
      </c>
      <c r="H61" s="97">
        <f t="shared" si="8"/>
        <v>3</v>
      </c>
      <c r="I61" s="17"/>
      <c r="K61" s="15"/>
      <c r="O61" s="17"/>
    </row>
    <row r="62" spans="2:15" customFormat="1" x14ac:dyDescent="0.3">
      <c r="C62" s="15" t="s">
        <v>492</v>
      </c>
      <c r="D62" s="15" t="s">
        <v>493</v>
      </c>
      <c r="E62" s="25">
        <v>15</v>
      </c>
      <c r="F62" s="42">
        <f>E62</f>
        <v>15</v>
      </c>
      <c r="G62" s="25">
        <v>75</v>
      </c>
      <c r="H62" s="42">
        <f t="shared" ref="H62:H64" si="9">G62</f>
        <v>75</v>
      </c>
      <c r="I62" s="17"/>
      <c r="J62" s="83" t="s">
        <v>494</v>
      </c>
      <c r="K62" s="83" t="s">
        <v>660</v>
      </c>
      <c r="L62" s="15" t="s">
        <v>493</v>
      </c>
      <c r="M62" s="26" t="s">
        <v>495</v>
      </c>
      <c r="N62" s="17"/>
      <c r="O62" s="17"/>
    </row>
    <row r="63" spans="2:15" customFormat="1" x14ac:dyDescent="0.3">
      <c r="C63" s="105" t="s">
        <v>496</v>
      </c>
      <c r="D63" s="15" t="s">
        <v>69</v>
      </c>
      <c r="E63" s="42">
        <f>E61*E62</f>
        <v>90</v>
      </c>
      <c r="F63" s="42">
        <f t="shared" ref="F63:H63" si="10">F61*F62</f>
        <v>82.5</v>
      </c>
      <c r="G63" s="42">
        <f t="shared" si="10"/>
        <v>225</v>
      </c>
      <c r="H63" s="42">
        <f t="shared" si="10"/>
        <v>225</v>
      </c>
      <c r="I63" s="17"/>
      <c r="K63" s="15"/>
      <c r="O63" s="17"/>
    </row>
    <row r="64" spans="2:15" customFormat="1" x14ac:dyDescent="0.3">
      <c r="C64" s="15" t="s">
        <v>661</v>
      </c>
      <c r="D64" s="15" t="s">
        <v>662</v>
      </c>
      <c r="E64" s="25">
        <v>8</v>
      </c>
      <c r="F64" s="42">
        <f>E64</f>
        <v>8</v>
      </c>
      <c r="G64" s="25">
        <v>12</v>
      </c>
      <c r="H64" s="42">
        <f t="shared" si="9"/>
        <v>12</v>
      </c>
      <c r="I64" s="17"/>
      <c r="J64" s="83" t="s">
        <v>663</v>
      </c>
      <c r="K64" s="15" t="s">
        <v>662</v>
      </c>
      <c r="O64" s="17"/>
    </row>
    <row r="65" spans="3:13" customFormat="1" ht="15" x14ac:dyDescent="0.25">
      <c r="C65" s="105" t="s">
        <v>501</v>
      </c>
      <c r="D65" s="15" t="s">
        <v>502</v>
      </c>
      <c r="E65" s="42">
        <f>E64*E56</f>
        <v>96</v>
      </c>
      <c r="F65" s="42">
        <f t="shared" ref="F65:H65" si="11">F64*F56</f>
        <v>24</v>
      </c>
      <c r="G65" s="42">
        <f t="shared" si="11"/>
        <v>72</v>
      </c>
      <c r="H65" s="42">
        <f t="shared" si="11"/>
        <v>12</v>
      </c>
      <c r="I65" s="42"/>
    </row>
    <row r="66" spans="3:13" x14ac:dyDescent="0.3">
      <c r="C66" s="84" t="s">
        <v>503</v>
      </c>
      <c r="D66" s="84" t="s">
        <v>69</v>
      </c>
      <c r="E66" s="91">
        <f>E63+E65</f>
        <v>186</v>
      </c>
      <c r="F66" s="91">
        <f>F63+F65</f>
        <v>106.5</v>
      </c>
      <c r="G66" s="91">
        <f>G63+G65</f>
        <v>297</v>
      </c>
      <c r="H66" s="91">
        <f>H63+H65</f>
        <v>237</v>
      </c>
    </row>
    <row r="67" spans="3:13" x14ac:dyDescent="0.3">
      <c r="C67" s="84"/>
      <c r="D67" s="84"/>
      <c r="E67" s="91"/>
      <c r="F67" s="91"/>
      <c r="G67" s="91"/>
      <c r="H67" s="91"/>
    </row>
    <row r="68" spans="3:13" x14ac:dyDescent="0.3">
      <c r="C68" s="84" t="s">
        <v>504</v>
      </c>
      <c r="D68" s="84" t="s">
        <v>664</v>
      </c>
      <c r="E68" s="25">
        <v>0</v>
      </c>
      <c r="F68" s="91">
        <f>E68</f>
        <v>0</v>
      </c>
      <c r="G68" s="25">
        <v>0</v>
      </c>
      <c r="H68" s="91">
        <f t="shared" ref="H68" si="12">G68</f>
        <v>0</v>
      </c>
      <c r="J68" s="83">
        <v>0</v>
      </c>
      <c r="K68" s="84" t="s">
        <v>505</v>
      </c>
      <c r="M68" s="26"/>
    </row>
    <row r="69" spans="3:13" x14ac:dyDescent="0.3">
      <c r="C69" s="84" t="s">
        <v>508</v>
      </c>
      <c r="D69" s="84" t="s">
        <v>301</v>
      </c>
      <c r="E69" s="94">
        <f>'Model homes'!E171</f>
        <v>0.02</v>
      </c>
      <c r="F69" s="91"/>
      <c r="G69" s="91"/>
      <c r="H69" s="91"/>
    </row>
    <row r="70" spans="3:13" x14ac:dyDescent="0.3">
      <c r="C70" s="84" t="s">
        <v>509</v>
      </c>
      <c r="D70" s="84" t="s">
        <v>301</v>
      </c>
      <c r="E70" s="63">
        <f>IF($E69=E$72,1,(1-(((1+$E69)/(1+E$72))^E73))/(E72-$E69))</f>
        <v>19.229056279885292</v>
      </c>
      <c r="F70" s="63">
        <f>IF($E69=F$72,1,(1-(((1+$E69)/(1+F$72))^F73))/(F72-$E69))</f>
        <v>19.229056279885292</v>
      </c>
      <c r="G70" s="63">
        <f>IF($E69=G$72,1,(1-(((1+$E69)/(1+G$72))^G73))/(G72-$E69))</f>
        <v>19.229056279885292</v>
      </c>
      <c r="H70" s="63">
        <f>IF($E69=H$72,1,(1-(((1+$E69)/(1+H$72))^H73))/(H72-$E69))</f>
        <v>19.229056279885292</v>
      </c>
    </row>
    <row r="71" spans="3:13" x14ac:dyDescent="0.3">
      <c r="C71" s="84" t="s">
        <v>510</v>
      </c>
      <c r="D71" s="84" t="s">
        <v>505</v>
      </c>
      <c r="E71" s="63">
        <f>-PMT(E72,E73,E68*E70)</f>
        <v>0</v>
      </c>
      <c r="F71" s="63">
        <f>-PMT(F72,F73,F68*F70)</f>
        <v>0</v>
      </c>
      <c r="G71" s="63">
        <f>-PMT(G72,G73,G68*G70)</f>
        <v>0</v>
      </c>
      <c r="H71" s="63">
        <f>-PMT(H72,H73,H68*H70)</f>
        <v>0</v>
      </c>
    </row>
    <row r="72" spans="3:13" x14ac:dyDescent="0.3">
      <c r="C72" s="84" t="s">
        <v>302</v>
      </c>
      <c r="D72" s="84" t="s">
        <v>301</v>
      </c>
      <c r="E72" s="94">
        <f>'Model homes'!$E169</f>
        <v>0.04</v>
      </c>
      <c r="F72" s="94">
        <f>'Model homes'!$E169</f>
        <v>0.04</v>
      </c>
      <c r="G72" s="94">
        <f>'Model homes'!$E169</f>
        <v>0.04</v>
      </c>
      <c r="H72" s="94">
        <f>'Model homes'!$E169</f>
        <v>0.04</v>
      </c>
    </row>
    <row r="73" spans="3:13" x14ac:dyDescent="0.3">
      <c r="C73" s="84" t="s">
        <v>511</v>
      </c>
      <c r="D73" s="84" t="s">
        <v>512</v>
      </c>
      <c r="E73" s="25">
        <v>25</v>
      </c>
      <c r="F73" s="91">
        <f>E73</f>
        <v>25</v>
      </c>
      <c r="G73" s="91">
        <f t="shared" ref="G73:H73" si="13">F73</f>
        <v>25</v>
      </c>
      <c r="H73" s="91">
        <f t="shared" si="13"/>
        <v>25</v>
      </c>
      <c r="J73" s="83" t="s">
        <v>506</v>
      </c>
      <c r="K73" s="15" t="s">
        <v>514</v>
      </c>
    </row>
    <row r="74" spans="3:13" x14ac:dyDescent="0.3">
      <c r="C74" s="84"/>
      <c r="D74" s="84"/>
      <c r="E74" s="91"/>
      <c r="F74" s="91"/>
      <c r="G74" s="91"/>
      <c r="H74" s="91"/>
    </row>
    <row r="75" spans="3:13" x14ac:dyDescent="0.3">
      <c r="C75" s="51" t="s">
        <v>515</v>
      </c>
      <c r="D75" s="84"/>
      <c r="E75" s="91"/>
      <c r="F75" s="91"/>
      <c r="G75" s="91"/>
      <c r="H75" s="91"/>
    </row>
    <row r="76" spans="3:13" x14ac:dyDescent="0.3">
      <c r="C76" s="20" t="s">
        <v>14</v>
      </c>
      <c r="D76" s="15" t="s">
        <v>299</v>
      </c>
      <c r="E76" s="42" t="e">
        <f>'Model homes'!E$127*E31*10^-3/'Model homes'!E$21</f>
        <v>#VALUE!</v>
      </c>
      <c r="F76" s="42" t="e">
        <f>'Model homes'!F$127*F31*10^-3/'Model homes'!F$21</f>
        <v>#VALUE!</v>
      </c>
      <c r="G76" s="42" t="e">
        <f>'Model homes'!G$127*G31*10^-3/'Model homes'!G$21</f>
        <v>#VALUE!</v>
      </c>
      <c r="H76" s="42" t="e">
        <f>'Model homes'!H$127*H31*10^-3/'Model homes'!H$21</f>
        <v>#VALUE!</v>
      </c>
      <c r="J76" s="26" t="s">
        <v>516</v>
      </c>
    </row>
    <row r="77" spans="3:13" x14ac:dyDescent="0.3">
      <c r="C77" s="14" t="s">
        <v>15</v>
      </c>
      <c r="D77" s="15" t="s">
        <v>299</v>
      </c>
      <c r="E77" s="42" t="e">
        <f>'Model homes'!E149*E43</f>
        <v>#VALUE!</v>
      </c>
      <c r="F77" s="42" t="e">
        <f>'Model homes'!F149*F43</f>
        <v>#VALUE!</v>
      </c>
      <c r="G77" s="42" t="e">
        <f>'Model homes'!G149*G43</f>
        <v>#VALUE!</v>
      </c>
      <c r="H77" s="42" t="e">
        <f>'Model homes'!H149*H43</f>
        <v>#VALUE!</v>
      </c>
      <c r="J77" s="26"/>
    </row>
    <row r="78" spans="3:13" x14ac:dyDescent="0.3">
      <c r="C78" s="15" t="s">
        <v>16</v>
      </c>
      <c r="D78" s="15" t="s">
        <v>299</v>
      </c>
      <c r="E78" s="42" t="e">
        <f>'Model homes'!E150*E44</f>
        <v>#VALUE!</v>
      </c>
      <c r="F78" s="42" t="e">
        <f>'Model homes'!F150*F44</f>
        <v>#VALUE!</v>
      </c>
      <c r="G78" s="42" t="e">
        <f>'Model homes'!G150*G44</f>
        <v>#VALUE!</v>
      </c>
      <c r="H78" s="42" t="e">
        <f>'Model homes'!H150*H44</f>
        <v>#VALUE!</v>
      </c>
      <c r="J78" s="26"/>
    </row>
    <row r="79" spans="3:13" x14ac:dyDescent="0.3">
      <c r="C79" s="15" t="s">
        <v>17</v>
      </c>
      <c r="D79" s="15" t="s">
        <v>299</v>
      </c>
      <c r="E79" s="42" t="e">
        <f>'Model homes'!E151*E45</f>
        <v>#VALUE!</v>
      </c>
      <c r="F79" s="42" t="e">
        <f>'Model homes'!F151*F45</f>
        <v>#VALUE!</v>
      </c>
      <c r="G79" s="42" t="e">
        <f>'Model homes'!G151*G45</f>
        <v>#VALUE!</v>
      </c>
      <c r="H79" s="42" t="e">
        <f>'Model homes'!H151*H45</f>
        <v>#VALUE!</v>
      </c>
      <c r="J79" s="26"/>
    </row>
    <row r="80" spans="3:13" x14ac:dyDescent="0.3">
      <c r="C80" s="15" t="s">
        <v>18</v>
      </c>
      <c r="D80" s="15" t="s">
        <v>299</v>
      </c>
      <c r="E80" s="42" t="e">
        <f>'Model homes'!E152*E46</f>
        <v>#VALUE!</v>
      </c>
      <c r="F80" s="42" t="e">
        <f>'Model homes'!F152*F46</f>
        <v>#VALUE!</v>
      </c>
      <c r="G80" s="42" t="e">
        <f>'Model homes'!G152*G46</f>
        <v>#VALUE!</v>
      </c>
      <c r="H80" s="42" t="e">
        <f>'Model homes'!H152*H46</f>
        <v>#VALUE!</v>
      </c>
      <c r="J80" s="26"/>
    </row>
    <row r="81" spans="3:12" x14ac:dyDescent="0.3">
      <c r="C81" s="15" t="s">
        <v>19</v>
      </c>
      <c r="D81" s="15" t="s">
        <v>299</v>
      </c>
      <c r="E81" s="42" t="e">
        <f>'Model homes'!E153*E47</f>
        <v>#VALUE!</v>
      </c>
      <c r="F81" s="42" t="e">
        <f>'Model homes'!F153*F47</f>
        <v>#VALUE!</v>
      </c>
      <c r="G81" s="42" t="e">
        <f>'Model homes'!G153*G47</f>
        <v>#VALUE!</v>
      </c>
      <c r="H81" s="42" t="e">
        <f>'Model homes'!H153*H47</f>
        <v>#VALUE!</v>
      </c>
      <c r="J81" s="26"/>
    </row>
    <row r="82" spans="3:12" ht="15.95" customHeight="1" x14ac:dyDescent="0.3">
      <c r="C82" s="14" t="s">
        <v>20</v>
      </c>
      <c r="D82" s="15" t="s">
        <v>299</v>
      </c>
      <c r="E82" s="42" t="e">
        <f>'Model homes'!E154*E48</f>
        <v>#VALUE!</v>
      </c>
      <c r="F82" s="42" t="e">
        <f>'Model homes'!F154*F48</f>
        <v>#VALUE!</v>
      </c>
      <c r="G82" s="42" t="e">
        <f>'Model homes'!G154*G48</f>
        <v>#VALUE!</v>
      </c>
      <c r="H82" s="42" t="e">
        <f>'Model homes'!H154*H48</f>
        <v>#VALUE!</v>
      </c>
      <c r="J82" s="26"/>
    </row>
    <row r="83" spans="3:12" ht="15.95" customHeight="1" x14ac:dyDescent="0.3">
      <c r="C83" s="14" t="s">
        <v>21</v>
      </c>
      <c r="D83" s="15" t="s">
        <v>299</v>
      </c>
      <c r="E83" s="42"/>
      <c r="F83" s="42"/>
      <c r="G83" s="42"/>
      <c r="H83" s="42"/>
      <c r="J83" s="26"/>
      <c r="K83" s="17" t="s">
        <v>478</v>
      </c>
      <c r="L83" s="17" t="s">
        <v>479</v>
      </c>
    </row>
    <row r="84" spans="3:12" x14ac:dyDescent="0.3">
      <c r="C84" s="14" t="s">
        <v>22</v>
      </c>
      <c r="D84" s="15" t="s">
        <v>299</v>
      </c>
      <c r="E84" s="42" t="e">
        <f>'Model homes'!E156*E50</f>
        <v>#VALUE!</v>
      </c>
      <c r="F84" s="42" t="e">
        <f>'Model homes'!F156*F50</f>
        <v>#VALUE!</v>
      </c>
      <c r="G84" s="42" t="e">
        <f>'Model homes'!G156*G50</f>
        <v>#VALUE!</v>
      </c>
      <c r="H84" s="42" t="e">
        <f>'Model homes'!H156*H50</f>
        <v>#VALUE!</v>
      </c>
      <c r="J84" s="45" t="e">
        <f>ROUND(MIN(E76:H84),0)&amp;" - "&amp;ROUND(MAX(E76:H84),0)</f>
        <v>#VALUE!</v>
      </c>
      <c r="K84" s="142" t="e">
        <f>AVERAGE(E76:H84)</f>
        <v>#VALUE!</v>
      </c>
      <c r="L84" s="45" t="e">
        <f>AVERAGEIFS($E$76:$H$84,$J$102:$M$110,"yes")</f>
        <v>#DIV/0!</v>
      </c>
    </row>
    <row r="85" spans="3:12" x14ac:dyDescent="0.3">
      <c r="C85" s="20"/>
      <c r="D85" s="15"/>
      <c r="E85" s="42"/>
      <c r="F85" s="55"/>
      <c r="G85" s="42"/>
      <c r="H85" s="42"/>
      <c r="J85" s="26"/>
    </row>
    <row r="86" spans="3:12" x14ac:dyDescent="0.3">
      <c r="C86" s="51" t="s">
        <v>517</v>
      </c>
      <c r="D86" s="84"/>
      <c r="E86" s="91"/>
      <c r="F86" s="91"/>
      <c r="G86" s="91"/>
      <c r="H86" s="91"/>
      <c r="J86" s="51" t="s">
        <v>509</v>
      </c>
    </row>
    <row r="87" spans="3:12" x14ac:dyDescent="0.3">
      <c r="C87" s="20" t="s">
        <v>14</v>
      </c>
      <c r="D87" s="15" t="s">
        <v>299</v>
      </c>
      <c r="E87" s="55" t="e">
        <f>-PMT(E$72,E$73,E76*$J87)</f>
        <v>#VALUE!</v>
      </c>
      <c r="F87" s="55" t="e">
        <f t="shared" ref="F87:H87" si="14">-PMT(F$72,F$73,F76*$J87)</f>
        <v>#VALUE!</v>
      </c>
      <c r="G87" s="55" t="e">
        <f t="shared" si="14"/>
        <v>#VALUE!</v>
      </c>
      <c r="H87" s="55" t="e">
        <f t="shared" si="14"/>
        <v>#VALUE!</v>
      </c>
      <c r="J87" s="63">
        <f>(1-(((1+'Model homes'!$E159)/(1+E$72))^E$73))/(E$72-'Model homes'!$E159)</f>
        <v>20.303627885319141</v>
      </c>
    </row>
    <row r="88" spans="3:12" x14ac:dyDescent="0.3">
      <c r="C88" s="14" t="s">
        <v>15</v>
      </c>
      <c r="D88" s="15" t="s">
        <v>299</v>
      </c>
      <c r="E88" s="55" t="e">
        <f t="shared" ref="E88:H95" si="15">-PMT(E$72,E$73,E77*$J88)</f>
        <v>#VALUE!</v>
      </c>
      <c r="F88" s="55" t="e">
        <f t="shared" si="15"/>
        <v>#VALUE!</v>
      </c>
      <c r="G88" s="55" t="e">
        <f t="shared" si="15"/>
        <v>#VALUE!</v>
      </c>
      <c r="H88" s="55" t="e">
        <f t="shared" si="15"/>
        <v>#VALUE!</v>
      </c>
      <c r="J88" s="63">
        <f>(1-(((1+'Model homes'!$E160)/(1+E$72))^E$73))/(E$72-'Model homes'!$E160)</f>
        <v>19.229056279885292</v>
      </c>
    </row>
    <row r="89" spans="3:12" x14ac:dyDescent="0.3">
      <c r="C89" s="15" t="s">
        <v>16</v>
      </c>
      <c r="D89" s="15" t="s">
        <v>299</v>
      </c>
      <c r="E89" s="55" t="e">
        <f t="shared" si="15"/>
        <v>#VALUE!</v>
      </c>
      <c r="F89" s="55" t="e">
        <f t="shared" si="15"/>
        <v>#VALUE!</v>
      </c>
      <c r="G89" s="55" t="e">
        <f t="shared" si="15"/>
        <v>#VALUE!</v>
      </c>
      <c r="H89" s="55" t="e">
        <f t="shared" si="15"/>
        <v>#VALUE!</v>
      </c>
      <c r="J89" s="63">
        <f>(1-(((1+'Model homes'!$E161)/(1+E$72))^E$73))/(E$72-'Model homes'!$E161)</f>
        <v>20.303627885319141</v>
      </c>
    </row>
    <row r="90" spans="3:12" x14ac:dyDescent="0.3">
      <c r="C90" s="15" t="s">
        <v>17</v>
      </c>
      <c r="D90" s="15" t="s">
        <v>299</v>
      </c>
      <c r="E90" s="55" t="e">
        <f t="shared" si="15"/>
        <v>#VALUE!</v>
      </c>
      <c r="F90" s="55" t="e">
        <f t="shared" si="15"/>
        <v>#VALUE!</v>
      </c>
      <c r="G90" s="55" t="e">
        <f t="shared" si="15"/>
        <v>#VALUE!</v>
      </c>
      <c r="H90" s="55" t="e">
        <f t="shared" si="15"/>
        <v>#VALUE!</v>
      </c>
      <c r="J90" s="63">
        <f>(1-(((1+'Model homes'!$E162)/(1+E$72))^E$73))/(E$72-'Model homes'!$E162)</f>
        <v>20.303627885319141</v>
      </c>
    </row>
    <row r="91" spans="3:12" x14ac:dyDescent="0.3">
      <c r="C91" s="15" t="s">
        <v>18</v>
      </c>
      <c r="D91" s="15" t="s">
        <v>299</v>
      </c>
      <c r="E91" s="55" t="e">
        <f t="shared" si="15"/>
        <v>#VALUE!</v>
      </c>
      <c r="F91" s="55" t="e">
        <f t="shared" si="15"/>
        <v>#VALUE!</v>
      </c>
      <c r="G91" s="55" t="e">
        <f t="shared" si="15"/>
        <v>#VALUE!</v>
      </c>
      <c r="H91" s="55" t="e">
        <f t="shared" si="15"/>
        <v>#VALUE!</v>
      </c>
      <c r="J91" s="63">
        <f>(1-(((1+'Model homes'!$E163)/(1+E$72))^E$73))/(E$72-'Model homes'!$E163)</f>
        <v>20.303627885319141</v>
      </c>
    </row>
    <row r="92" spans="3:12" x14ac:dyDescent="0.3">
      <c r="C92" s="15" t="s">
        <v>19</v>
      </c>
      <c r="D92" s="15" t="s">
        <v>299</v>
      </c>
      <c r="E92" s="55" t="e">
        <f t="shared" si="15"/>
        <v>#VALUE!</v>
      </c>
      <c r="F92" s="55" t="e">
        <f t="shared" si="15"/>
        <v>#VALUE!</v>
      </c>
      <c r="G92" s="55" t="e">
        <f t="shared" si="15"/>
        <v>#VALUE!</v>
      </c>
      <c r="H92" s="55" t="e">
        <f t="shared" si="15"/>
        <v>#VALUE!</v>
      </c>
      <c r="J92" s="63">
        <f>(1-(((1+'Model homes'!$E164)/(1+E$72))^E$73))/(E$72-'Model homes'!$E164)</f>
        <v>20.303627885319141</v>
      </c>
    </row>
    <row r="93" spans="3:12" ht="15.95" customHeight="1" x14ac:dyDescent="0.3">
      <c r="C93" s="14" t="s">
        <v>20</v>
      </c>
      <c r="D93" s="15" t="s">
        <v>299</v>
      </c>
      <c r="E93" s="55" t="e">
        <f t="shared" si="15"/>
        <v>#VALUE!</v>
      </c>
      <c r="F93" s="55" t="e">
        <f t="shared" si="15"/>
        <v>#VALUE!</v>
      </c>
      <c r="G93" s="55" t="e">
        <f t="shared" si="15"/>
        <v>#VALUE!</v>
      </c>
      <c r="H93" s="55" t="e">
        <f t="shared" si="15"/>
        <v>#VALUE!</v>
      </c>
      <c r="J93" s="63">
        <f>(1-(((1+'Model homes'!$E165)/(1+E$72))^E$73))/(E$72-'Model homes'!$E165)</f>
        <v>21.221058703962093</v>
      </c>
    </row>
    <row r="94" spans="3:12" ht="15.95" customHeight="1" x14ac:dyDescent="0.3">
      <c r="C94" s="14" t="s">
        <v>21</v>
      </c>
      <c r="D94" s="15" t="s">
        <v>299</v>
      </c>
      <c r="E94" s="55"/>
      <c r="F94" s="55"/>
      <c r="G94" s="55"/>
      <c r="H94" s="55"/>
      <c r="J94" s="63">
        <f>(1-(((1+'Model homes'!$E166)/(1+E$72))^E$73))/(E$72-'Model homes'!$E166)</f>
        <v>20.303627885319141</v>
      </c>
    </row>
    <row r="95" spans="3:12" x14ac:dyDescent="0.3">
      <c r="C95" s="14" t="s">
        <v>22</v>
      </c>
      <c r="D95" s="15" t="s">
        <v>299</v>
      </c>
      <c r="E95" s="55" t="e">
        <f t="shared" si="15"/>
        <v>#VALUE!</v>
      </c>
      <c r="F95" s="55" t="e">
        <f t="shared" si="15"/>
        <v>#VALUE!</v>
      </c>
      <c r="G95" s="55" t="e">
        <f t="shared" si="15"/>
        <v>#VALUE!</v>
      </c>
      <c r="H95" s="55" t="e">
        <f t="shared" si="15"/>
        <v>#VALUE!</v>
      </c>
      <c r="J95" s="63">
        <f>(1-(((1+'Model homes'!$E167)/(1+E$72))^E$73))/(E$72-'Model homes'!$E167)</f>
        <v>20.303627885319141</v>
      </c>
    </row>
    <row r="96" spans="3:12" x14ac:dyDescent="0.3">
      <c r="C96" s="20"/>
      <c r="D96" s="15"/>
      <c r="E96" s="42"/>
      <c r="F96" s="55"/>
      <c r="G96" s="42"/>
      <c r="H96" s="42"/>
      <c r="J96" s="26"/>
    </row>
    <row r="97" spans="2:16" ht="20.25" x14ac:dyDescent="0.35">
      <c r="C97" s="81" t="s">
        <v>518</v>
      </c>
      <c r="D97" s="46"/>
      <c r="E97" s="55"/>
      <c r="F97" s="55"/>
      <c r="G97" s="55"/>
      <c r="H97" s="55"/>
      <c r="J97" s="26"/>
    </row>
    <row r="98" spans="2:16" s="18" customFormat="1" ht="17.25" thickBot="1" x14ac:dyDescent="0.35">
      <c r="B98" s="19" t="s">
        <v>153</v>
      </c>
      <c r="C98" s="19" t="s">
        <v>154</v>
      </c>
      <c r="D98" s="19" t="s">
        <v>32</v>
      </c>
      <c r="E98" s="19" t="s">
        <v>155</v>
      </c>
      <c r="F98" s="19"/>
      <c r="G98" s="19" t="s">
        <v>155</v>
      </c>
      <c r="H98" s="19"/>
      <c r="I98" s="19"/>
      <c r="J98" s="56" t="s">
        <v>156</v>
      </c>
      <c r="K98" s="56"/>
    </row>
    <row r="99" spans="2:16" s="30" customFormat="1" ht="18" thickTop="1" thickBot="1" x14ac:dyDescent="0.35">
      <c r="B99" s="28"/>
      <c r="C99" s="29" t="s">
        <v>157</v>
      </c>
      <c r="D99" s="29"/>
      <c r="E99" s="335" t="s">
        <v>5</v>
      </c>
      <c r="F99" s="335"/>
      <c r="G99" s="335" t="s">
        <v>6</v>
      </c>
      <c r="H99" s="335"/>
      <c r="I99" s="28"/>
      <c r="J99" s="28"/>
      <c r="K99" s="57"/>
      <c r="M99" s="20"/>
    </row>
    <row r="100" spans="2:16" ht="18" thickTop="1" thickBot="1" x14ac:dyDescent="0.35">
      <c r="B100" s="19"/>
      <c r="C100" s="29" t="s">
        <v>158</v>
      </c>
      <c r="D100" s="29"/>
      <c r="E100" s="29" t="s">
        <v>7</v>
      </c>
      <c r="F100" s="29" t="s">
        <v>8</v>
      </c>
      <c r="G100" s="29" t="s">
        <v>7</v>
      </c>
      <c r="H100" s="29" t="s">
        <v>8</v>
      </c>
      <c r="I100" s="19"/>
      <c r="J100" s="19"/>
      <c r="K100" s="56"/>
      <c r="M100" s="82"/>
      <c r="N100" s="82"/>
    </row>
    <row r="101" spans="2:16" ht="17.25" thickTop="1" x14ac:dyDescent="0.3">
      <c r="C101" s="51" t="s">
        <v>519</v>
      </c>
      <c r="D101" s="84"/>
      <c r="E101" s="90"/>
      <c r="F101" s="90"/>
      <c r="G101" s="90"/>
      <c r="H101" s="90"/>
      <c r="J101" s="20" t="s">
        <v>520</v>
      </c>
    </row>
    <row r="102" spans="2:16" x14ac:dyDescent="0.3">
      <c r="C102" s="20" t="s">
        <v>14</v>
      </c>
      <c r="D102" s="84" t="s">
        <v>512</v>
      </c>
      <c r="E102" s="42" t="e">
        <f>IF(E$66/'Model homes'!E$21/(E76-E$68)&lt;0,"-",E$66/'Model homes'!E$21/(E76-E$68))</f>
        <v>#VALUE!</v>
      </c>
      <c r="F102" s="42" t="e">
        <f>IF(F$66/'Model homes'!F$21/(F76-F$68)&lt;0,"-",F$66/'Model homes'!F$21/(F76-F$68))</f>
        <v>#VALUE!</v>
      </c>
      <c r="G102" s="42" t="e">
        <f>IF(G$66/'Model homes'!G$21/(G76-G$68)&lt;0,"-",G$66/'Model homes'!G$21/(G76-G$68))</f>
        <v>#VALUE!</v>
      </c>
      <c r="H102" s="42" t="e">
        <f>IF(H$66/'Model homes'!H$21/(H76-H$68)&lt;0,"-",H$66/'Model homes'!H$21/(H76-H$68))</f>
        <v>#VALUE!</v>
      </c>
      <c r="J102" s="42" t="e">
        <f t="shared" ref="J102:M110" si="16">IF(E102&lt;E$73,"yes","no")</f>
        <v>#VALUE!</v>
      </c>
      <c r="K102" s="42" t="e">
        <f t="shared" si="16"/>
        <v>#VALUE!</v>
      </c>
      <c r="L102" s="42" t="e">
        <f t="shared" si="16"/>
        <v>#VALUE!</v>
      </c>
      <c r="M102" s="42" t="e">
        <f t="shared" si="16"/>
        <v>#VALUE!</v>
      </c>
    </row>
    <row r="103" spans="2:16" x14ac:dyDescent="0.3">
      <c r="C103" s="14" t="s">
        <v>15</v>
      </c>
      <c r="D103" s="84" t="s">
        <v>512</v>
      </c>
      <c r="E103" s="42" t="e">
        <f>IF(E$66/'Model homes'!E$21/(E77-E$68)&lt;0,"-",E$66/'Model homes'!E$21/(E77-E$68))</f>
        <v>#VALUE!</v>
      </c>
      <c r="F103" s="42" t="e">
        <f>IF(F$66/'Model homes'!F$21/(F77-F$68)&lt;0,"-",F$66/'Model homes'!F$21/(F77-F$68))</f>
        <v>#VALUE!</v>
      </c>
      <c r="G103" s="42" t="e">
        <f>IF(G$66/'Model homes'!G$21/(G77-G$68)&lt;0,"-",G$66/'Model homes'!G$21/(G77-G$68))</f>
        <v>#VALUE!</v>
      </c>
      <c r="H103" s="42" t="e">
        <f>IF(H$66/'Model homes'!H$21/(H77-H$68)&lt;0,"-",H$66/'Model homes'!H$21/(H77-H$68))</f>
        <v>#VALUE!</v>
      </c>
      <c r="J103" s="42" t="e">
        <f t="shared" si="16"/>
        <v>#VALUE!</v>
      </c>
      <c r="K103" s="42" t="e">
        <f t="shared" si="16"/>
        <v>#VALUE!</v>
      </c>
      <c r="L103" s="42" t="e">
        <f t="shared" si="16"/>
        <v>#VALUE!</v>
      </c>
      <c r="M103" s="42" t="e">
        <f t="shared" si="16"/>
        <v>#VALUE!</v>
      </c>
    </row>
    <row r="104" spans="2:16" x14ac:dyDescent="0.3">
      <c r="C104" s="15" t="s">
        <v>16</v>
      </c>
      <c r="D104" s="84" t="s">
        <v>512</v>
      </c>
      <c r="E104" s="42" t="e">
        <f>IF(E$66/'Model homes'!E$21/(E78-E$68)&lt;0,"-",E$66/'Model homes'!E$21/(E78-E$68))</f>
        <v>#VALUE!</v>
      </c>
      <c r="F104" s="42" t="e">
        <f>IF(F$66/'Model homes'!F$21/(F78-F$68)&lt;0,"-",F$66/'Model homes'!F$21/(F78-F$68))</f>
        <v>#VALUE!</v>
      </c>
      <c r="G104" s="42" t="e">
        <f>IF(G$66/'Model homes'!G$21/(G78-G$68)&lt;0,"-",G$66/'Model homes'!G$21/(G78-G$68))</f>
        <v>#VALUE!</v>
      </c>
      <c r="H104" s="42" t="e">
        <f>IF(H$66/'Model homes'!H$21/(H78-H$68)&lt;0,"-",H$66/'Model homes'!H$21/(H78-H$68))</f>
        <v>#VALUE!</v>
      </c>
      <c r="J104" s="42" t="e">
        <f t="shared" si="16"/>
        <v>#VALUE!</v>
      </c>
      <c r="K104" s="42" t="e">
        <f t="shared" si="16"/>
        <v>#VALUE!</v>
      </c>
      <c r="L104" s="42" t="e">
        <f t="shared" si="16"/>
        <v>#VALUE!</v>
      </c>
      <c r="M104" s="42" t="e">
        <f t="shared" si="16"/>
        <v>#VALUE!</v>
      </c>
    </row>
    <row r="105" spans="2:16" x14ac:dyDescent="0.3">
      <c r="C105" s="15" t="s">
        <v>17</v>
      </c>
      <c r="D105" s="84" t="s">
        <v>512</v>
      </c>
      <c r="E105" s="42" t="e">
        <f>IF(E$66/'Model homes'!E$21/(E79-E$68)&lt;0,"-",E$66/'Model homes'!E$21/(E79-E$68))</f>
        <v>#VALUE!</v>
      </c>
      <c r="F105" s="42" t="e">
        <f>IF(F$66/'Model homes'!F$21/(F79-F$68)&lt;0,"-",F$66/'Model homes'!F$21/(F79-F$68))</f>
        <v>#VALUE!</v>
      </c>
      <c r="G105" s="42" t="e">
        <f>IF(G$66/'Model homes'!G$21/(G79-G$68)&lt;0,"-",G$66/'Model homes'!G$21/(G79-G$68))</f>
        <v>#VALUE!</v>
      </c>
      <c r="H105" s="42" t="e">
        <f>IF(H$66/'Model homes'!H$21/(H79-H$68)&lt;0,"-",H$66/'Model homes'!H$21/(H79-H$68))</f>
        <v>#VALUE!</v>
      </c>
      <c r="J105" s="42" t="e">
        <f t="shared" si="16"/>
        <v>#VALUE!</v>
      </c>
      <c r="K105" s="42" t="e">
        <f t="shared" si="16"/>
        <v>#VALUE!</v>
      </c>
      <c r="L105" s="42" t="e">
        <f t="shared" si="16"/>
        <v>#VALUE!</v>
      </c>
      <c r="M105" s="42" t="e">
        <f t="shared" si="16"/>
        <v>#VALUE!</v>
      </c>
    </row>
    <row r="106" spans="2:16" x14ac:dyDescent="0.3">
      <c r="C106" s="15" t="s">
        <v>18</v>
      </c>
      <c r="D106" s="84" t="s">
        <v>512</v>
      </c>
      <c r="E106" s="42" t="e">
        <f>IF(E$66/'Model homes'!E$21/(E80-E$68)&lt;0,"-",E$66/'Model homes'!E$21/(E80-E$68))</f>
        <v>#VALUE!</v>
      </c>
      <c r="F106" s="42" t="e">
        <f>IF(F$66/'Model homes'!F$21/(F80-F$68)&lt;0,"-",F$66/'Model homes'!F$21/(F80-F$68))</f>
        <v>#VALUE!</v>
      </c>
      <c r="G106" s="42" t="e">
        <f>IF(G$66/'Model homes'!G$21/(G80-G$68)&lt;0,"-",G$66/'Model homes'!G$21/(G80-G$68))</f>
        <v>#VALUE!</v>
      </c>
      <c r="H106" s="42" t="e">
        <f>IF(H$66/'Model homes'!H$21/(H80-H$68)&lt;0,"-",H$66/'Model homes'!H$21/(H80-H$68))</f>
        <v>#VALUE!</v>
      </c>
      <c r="J106" s="42" t="e">
        <f t="shared" si="16"/>
        <v>#VALUE!</v>
      </c>
      <c r="K106" s="42" t="e">
        <f t="shared" si="16"/>
        <v>#VALUE!</v>
      </c>
      <c r="L106" s="42" t="e">
        <f t="shared" si="16"/>
        <v>#VALUE!</v>
      </c>
      <c r="M106" s="42" t="e">
        <f t="shared" si="16"/>
        <v>#VALUE!</v>
      </c>
    </row>
    <row r="107" spans="2:16" x14ac:dyDescent="0.3">
      <c r="C107" s="15" t="s">
        <v>19</v>
      </c>
      <c r="D107" s="84" t="s">
        <v>512</v>
      </c>
      <c r="E107" s="42" t="e">
        <f>IF(E$66/'Model homes'!E$21/(E81-E$68)&lt;0,"-",E$66/'Model homes'!E$21/(E81-E$68))</f>
        <v>#VALUE!</v>
      </c>
      <c r="F107" s="42" t="e">
        <f>IF(F$66/'Model homes'!F$21/(F81-F$68)&lt;0,"-",F$66/'Model homes'!F$21/(F81-F$68))</f>
        <v>#VALUE!</v>
      </c>
      <c r="G107" s="42" t="e">
        <f>IF(G$66/'Model homes'!G$21/(G81-G$68)&lt;0,"-",G$66/'Model homes'!G$21/(G81-G$68))</f>
        <v>#VALUE!</v>
      </c>
      <c r="H107" s="42" t="e">
        <f>IF(H$66/'Model homes'!H$21/(H81-H$68)&lt;0,"-",H$66/'Model homes'!H$21/(H81-H$68))</f>
        <v>#VALUE!</v>
      </c>
      <c r="J107" s="42" t="e">
        <f t="shared" si="16"/>
        <v>#VALUE!</v>
      </c>
      <c r="K107" s="42" t="e">
        <f t="shared" si="16"/>
        <v>#VALUE!</v>
      </c>
      <c r="L107" s="42" t="e">
        <f t="shared" si="16"/>
        <v>#VALUE!</v>
      </c>
      <c r="M107" s="42" t="e">
        <f t="shared" si="16"/>
        <v>#VALUE!</v>
      </c>
    </row>
    <row r="108" spans="2:16" ht="15.95" customHeight="1" x14ac:dyDescent="0.3">
      <c r="C108" s="14" t="s">
        <v>20</v>
      </c>
      <c r="D108" s="84" t="s">
        <v>512</v>
      </c>
      <c r="E108" s="42" t="e">
        <f>IF(E$66/'Model homes'!E$21/(E82-E$68)&lt;0,"-",E$66/'Model homes'!E$21/(E82-E$68))</f>
        <v>#VALUE!</v>
      </c>
      <c r="F108" s="42" t="e">
        <f>IF(F$66/'Model homes'!F$21/(F82-F$68)&lt;0,"-",F$66/'Model homes'!F$21/(F82-F$68))</f>
        <v>#VALUE!</v>
      </c>
      <c r="G108" s="42" t="e">
        <f>IF(G$66/'Model homes'!G$21/(G82-G$68)&lt;0,"-",G$66/'Model homes'!G$21/(G82-G$68))</f>
        <v>#VALUE!</v>
      </c>
      <c r="H108" s="42" t="e">
        <f>IF(H$66/'Model homes'!H$21/(H82-H$68)&lt;0,"-",H$66/'Model homes'!H$21/(H82-H$68))</f>
        <v>#VALUE!</v>
      </c>
      <c r="J108" s="42" t="e">
        <f t="shared" si="16"/>
        <v>#VALUE!</v>
      </c>
      <c r="K108" s="42" t="e">
        <f t="shared" si="16"/>
        <v>#VALUE!</v>
      </c>
      <c r="L108" s="42" t="e">
        <f t="shared" si="16"/>
        <v>#VALUE!</v>
      </c>
      <c r="M108" s="42" t="e">
        <f t="shared" si="16"/>
        <v>#VALUE!</v>
      </c>
    </row>
    <row r="109" spans="2:16" ht="15.95" customHeight="1" x14ac:dyDescent="0.3">
      <c r="C109" s="14" t="s">
        <v>21</v>
      </c>
      <c r="D109" s="84" t="s">
        <v>512</v>
      </c>
      <c r="E109" s="42"/>
      <c r="F109" s="42"/>
      <c r="G109" s="42"/>
      <c r="H109" s="42"/>
      <c r="J109" s="42"/>
      <c r="K109" s="42"/>
      <c r="L109" s="42"/>
      <c r="M109" s="42"/>
      <c r="O109" s="17" t="s">
        <v>7</v>
      </c>
      <c r="P109" s="17" t="s">
        <v>8</v>
      </c>
    </row>
    <row r="110" spans="2:16" x14ac:dyDescent="0.3">
      <c r="C110" s="14" t="s">
        <v>22</v>
      </c>
      <c r="D110" s="84" t="s">
        <v>512</v>
      </c>
      <c r="E110" s="42" t="e">
        <f>IF(E$66/'Model homes'!E$21/(E84-E$68)&lt;0,"-",E$66/'Model homes'!E$21/(E84-E$68))</f>
        <v>#VALUE!</v>
      </c>
      <c r="F110" s="42" t="e">
        <f>IF(F$66/'Model homes'!F$21/(F84-F$68)&lt;0,"-",F$66/'Model homes'!F$21/(F84-F$68))</f>
        <v>#VALUE!</v>
      </c>
      <c r="G110" s="42" t="e">
        <f>IF(G$66/'Model homes'!G$21/(G84-G$68)&lt;0,"-",G$66/'Model homes'!G$21/(G84-G$68))</f>
        <v>#VALUE!</v>
      </c>
      <c r="H110" s="42" t="e">
        <f>IF(H$66/'Model homes'!H$21/(H84-H$68)&lt;0,"-",H$66/'Model homes'!H$21/(H84-H$68))</f>
        <v>#VALUE!</v>
      </c>
      <c r="J110" s="42" t="e">
        <f t="shared" si="16"/>
        <v>#VALUE!</v>
      </c>
      <c r="K110" s="42" t="e">
        <f t="shared" si="16"/>
        <v>#VALUE!</v>
      </c>
      <c r="L110" s="42" t="e">
        <f t="shared" si="16"/>
        <v>#VALUE!</v>
      </c>
      <c r="M110" s="42" t="e">
        <f t="shared" si="16"/>
        <v>#VALUE!</v>
      </c>
      <c r="O110" s="17" t="str">
        <f>IF((COUNTIF(J102:J110,"yes")+COUNTIF(L102:L110,"yes"))&gt;=(COUNTIF(J102:J110,"no")+COUNTIF(L102:L110,"no")),"yes","no")</f>
        <v>yes</v>
      </c>
      <c r="P110" s="17" t="str">
        <f>IF((COUNTIF(K102:K110,"yes")+COUNTIF(M102:M110,"yes"))&gt;=(COUNTIF(K102:K110,"no")+COUNTIF(M102:M110,"no")),"yes","no")</f>
        <v>yes</v>
      </c>
    </row>
    <row r="111" spans="2:16" x14ac:dyDescent="0.3">
      <c r="C111" s="20"/>
      <c r="D111" s="96"/>
      <c r="E111" s="55"/>
      <c r="F111" s="55"/>
      <c r="G111" s="55"/>
      <c r="H111" s="55"/>
      <c r="J111" s="26"/>
    </row>
    <row r="112" spans="2:16" x14ac:dyDescent="0.3">
      <c r="C112" s="51" t="s">
        <v>521</v>
      </c>
      <c r="D112" s="84"/>
      <c r="E112" s="90"/>
      <c r="F112" s="90"/>
      <c r="G112" s="90"/>
      <c r="H112" s="90"/>
      <c r="J112" s="20" t="s">
        <v>520</v>
      </c>
    </row>
    <row r="113" spans="3:40" x14ac:dyDescent="0.3">
      <c r="C113" s="20" t="s">
        <v>14</v>
      </c>
      <c r="D113" s="84" t="s">
        <v>512</v>
      </c>
      <c r="E113" s="42" t="e">
        <f>IF((E$66/'Model homes'!E$21)/(E87-E$71)&lt;0,"-",(E$66/'Model homes'!E$21)/(E87-E$71))</f>
        <v>#VALUE!</v>
      </c>
      <c r="F113" s="42" t="e">
        <f>IF((F$66/'Model homes'!F$21)/(F87-F$71)&lt;0,"-",(F$66/'Model homes'!F$21)/(F87-F$71))</f>
        <v>#VALUE!</v>
      </c>
      <c r="G113" s="42" t="e">
        <f>IF((G$66/'Model homes'!G$21)/(G87-G$71)&lt;0,"-",(G$66/'Model homes'!G$21)/(G87-G$71))</f>
        <v>#VALUE!</v>
      </c>
      <c r="H113" s="42" t="e">
        <f>IF((H$66/'Model homes'!H$21)/(H87-H$71)&lt;0,"-",(H$66/'Model homes'!H$21)/(H87-H$71))</f>
        <v>#VALUE!</v>
      </c>
      <c r="J113" s="42" t="e">
        <f t="shared" ref="J113:M121" si="17">IF(E113&lt;E$73,"yes","no")</f>
        <v>#VALUE!</v>
      </c>
      <c r="K113" s="42" t="e">
        <f t="shared" si="17"/>
        <v>#VALUE!</v>
      </c>
      <c r="L113" s="42" t="e">
        <f t="shared" si="17"/>
        <v>#VALUE!</v>
      </c>
      <c r="M113" s="42" t="e">
        <f t="shared" si="17"/>
        <v>#VALUE!</v>
      </c>
    </row>
    <row r="114" spans="3:40" x14ac:dyDescent="0.3">
      <c r="C114" s="14" t="s">
        <v>15</v>
      </c>
      <c r="D114" s="84" t="s">
        <v>512</v>
      </c>
      <c r="E114" s="42" t="e">
        <f>IF((E$66/'Model homes'!E$21)/(E88-E$71)&lt;0,"-",(E$66/'Model homes'!E$21)/(E88-E$71))</f>
        <v>#VALUE!</v>
      </c>
      <c r="F114" s="42" t="e">
        <f>IF((F$66/'Model homes'!F$21)/(F88-F$71)&lt;0,"-",(F$66/'Model homes'!F$21)/(F88-F$71))</f>
        <v>#VALUE!</v>
      </c>
      <c r="G114" s="42" t="e">
        <f>IF((G$66/'Model homes'!G$21)/(G88-G$71)&lt;0,"-",(G$66/'Model homes'!G$21)/(G88-G$71))</f>
        <v>#VALUE!</v>
      </c>
      <c r="H114" s="42" t="e">
        <f>IF((H$66/'Model homes'!H$21)/(H88-H$71)&lt;0,"-",(H$66/'Model homes'!H$21)/(H88-H$71))</f>
        <v>#VALUE!</v>
      </c>
      <c r="J114" s="42" t="e">
        <f t="shared" si="17"/>
        <v>#VALUE!</v>
      </c>
      <c r="K114" s="42" t="e">
        <f t="shared" si="17"/>
        <v>#VALUE!</v>
      </c>
      <c r="L114" s="42" t="e">
        <f t="shared" si="17"/>
        <v>#VALUE!</v>
      </c>
      <c r="M114" s="42" t="e">
        <f t="shared" si="17"/>
        <v>#VALUE!</v>
      </c>
    </row>
    <row r="115" spans="3:40" x14ac:dyDescent="0.3">
      <c r="C115" s="15" t="s">
        <v>16</v>
      </c>
      <c r="D115" s="84" t="s">
        <v>512</v>
      </c>
      <c r="E115" s="42" t="e">
        <f>IF((E$66/'Model homes'!E$21)/(E89-E$71)&lt;0,"-",(E$66/'Model homes'!E$21)/(E89-E$71))</f>
        <v>#VALUE!</v>
      </c>
      <c r="F115" s="42" t="e">
        <f>IF((F$66/'Model homes'!F$21)/(F89-F$71)&lt;0,"-",(F$66/'Model homes'!F$21)/(F89-F$71))</f>
        <v>#VALUE!</v>
      </c>
      <c r="G115" s="42" t="e">
        <f>IF((G$66/'Model homes'!G$21)/(G89-G$71)&lt;0,"-",(G$66/'Model homes'!G$21)/(G89-G$71))</f>
        <v>#VALUE!</v>
      </c>
      <c r="H115" s="42" t="e">
        <f>IF((H$66/'Model homes'!H$21)/(H89-H$71)&lt;0,"-",(H$66/'Model homes'!H$21)/(H89-H$71))</f>
        <v>#VALUE!</v>
      </c>
      <c r="J115" s="42" t="e">
        <f t="shared" si="17"/>
        <v>#VALUE!</v>
      </c>
      <c r="K115" s="42" t="e">
        <f t="shared" si="17"/>
        <v>#VALUE!</v>
      </c>
      <c r="L115" s="42" t="e">
        <f t="shared" si="17"/>
        <v>#VALUE!</v>
      </c>
      <c r="M115" s="42" t="e">
        <f t="shared" si="17"/>
        <v>#VALUE!</v>
      </c>
    </row>
    <row r="116" spans="3:40" x14ac:dyDescent="0.3">
      <c r="C116" s="15" t="s">
        <v>17</v>
      </c>
      <c r="D116" s="84" t="s">
        <v>512</v>
      </c>
      <c r="E116" s="42" t="e">
        <f>IF((E$66/'Model homes'!E$21)/(E90-E$71)&lt;0,"-",(E$66/'Model homes'!E$21)/(E90-E$71))</f>
        <v>#VALUE!</v>
      </c>
      <c r="F116" s="42" t="e">
        <f>IF((F$66/'Model homes'!F$21)/(F90-F$71)&lt;0,"-",(F$66/'Model homes'!F$21)/(F90-F$71))</f>
        <v>#VALUE!</v>
      </c>
      <c r="G116" s="42" t="e">
        <f>IF((G$66/'Model homes'!G$21)/(G90-G$71)&lt;0,"-",(G$66/'Model homes'!G$21)/(G90-G$71))</f>
        <v>#VALUE!</v>
      </c>
      <c r="H116" s="42" t="e">
        <f>IF((H$66/'Model homes'!H$21)/(H90-H$71)&lt;0,"-",(H$66/'Model homes'!H$21)/(H90-H$71))</f>
        <v>#VALUE!</v>
      </c>
      <c r="J116" s="42" t="e">
        <f t="shared" si="17"/>
        <v>#VALUE!</v>
      </c>
      <c r="K116" s="42" t="e">
        <f t="shared" si="17"/>
        <v>#VALUE!</v>
      </c>
      <c r="L116" s="42" t="e">
        <f t="shared" si="17"/>
        <v>#VALUE!</v>
      </c>
      <c r="M116" s="42" t="e">
        <f t="shared" si="17"/>
        <v>#VALUE!</v>
      </c>
    </row>
    <row r="117" spans="3:40" x14ac:dyDescent="0.3">
      <c r="C117" s="15" t="s">
        <v>18</v>
      </c>
      <c r="D117" s="84" t="s">
        <v>512</v>
      </c>
      <c r="E117" s="42" t="e">
        <f>IF((E$66/'Model homes'!E$21)/(E91-E$71)&lt;0,"-",(E$66/'Model homes'!E$21)/(E91-E$71))</f>
        <v>#VALUE!</v>
      </c>
      <c r="F117" s="42" t="e">
        <f>IF((F$66/'Model homes'!F$21)/(F91-F$71)&lt;0,"-",(F$66/'Model homes'!F$21)/(F91-F$71))</f>
        <v>#VALUE!</v>
      </c>
      <c r="G117" s="42" t="e">
        <f>IF((G$66/'Model homes'!G$21)/(G91-G$71)&lt;0,"-",(G$66/'Model homes'!G$21)/(G91-G$71))</f>
        <v>#VALUE!</v>
      </c>
      <c r="H117" s="42" t="e">
        <f>IF((H$66/'Model homes'!H$21)/(H91-H$71)&lt;0,"-",(H$66/'Model homes'!H$21)/(H91-H$71))</f>
        <v>#VALUE!</v>
      </c>
      <c r="J117" s="42" t="e">
        <f t="shared" si="17"/>
        <v>#VALUE!</v>
      </c>
      <c r="K117" s="42" t="e">
        <f t="shared" si="17"/>
        <v>#VALUE!</v>
      </c>
      <c r="L117" s="42" t="e">
        <f t="shared" si="17"/>
        <v>#VALUE!</v>
      </c>
      <c r="M117" s="42" t="e">
        <f t="shared" si="17"/>
        <v>#VALUE!</v>
      </c>
    </row>
    <row r="118" spans="3:40" x14ac:dyDescent="0.3">
      <c r="C118" s="15" t="s">
        <v>19</v>
      </c>
      <c r="D118" s="84" t="s">
        <v>512</v>
      </c>
      <c r="E118" s="42" t="e">
        <f>IF((E$66/'Model homes'!E$21)/(E92-E$71)&lt;0,"-",(E$66/'Model homes'!E$21)/(E92-E$71))</f>
        <v>#VALUE!</v>
      </c>
      <c r="F118" s="42" t="e">
        <f>IF((F$66/'Model homes'!F$21)/(F92-F$71)&lt;0,"-",(F$66/'Model homes'!F$21)/(F92-F$71))</f>
        <v>#VALUE!</v>
      </c>
      <c r="G118" s="42" t="e">
        <f>IF((G$66/'Model homes'!G$21)/(G92-G$71)&lt;0,"-",(G$66/'Model homes'!G$21)/(G92-G$71))</f>
        <v>#VALUE!</v>
      </c>
      <c r="H118" s="42" t="e">
        <f>IF((H$66/'Model homes'!H$21)/(H92-H$71)&lt;0,"-",(H$66/'Model homes'!H$21)/(H92-H$71))</f>
        <v>#VALUE!</v>
      </c>
      <c r="J118" s="42" t="e">
        <f t="shared" si="17"/>
        <v>#VALUE!</v>
      </c>
      <c r="K118" s="42" t="e">
        <f t="shared" si="17"/>
        <v>#VALUE!</v>
      </c>
      <c r="L118" s="42" t="e">
        <f t="shared" si="17"/>
        <v>#VALUE!</v>
      </c>
      <c r="M118" s="42" t="e">
        <f t="shared" si="17"/>
        <v>#VALUE!</v>
      </c>
    </row>
    <row r="119" spans="3:40" ht="15.95" customHeight="1" x14ac:dyDescent="0.3">
      <c r="C119" s="14" t="s">
        <v>20</v>
      </c>
      <c r="D119" s="84" t="s">
        <v>512</v>
      </c>
      <c r="E119" s="42" t="e">
        <f>IF((E$66/'Model homes'!E$21)/(E93-E$71)&lt;0,"-",(E$66/'Model homes'!E$21)/(E93-E$71))</f>
        <v>#VALUE!</v>
      </c>
      <c r="F119" s="42" t="e">
        <f>IF((F$66/'Model homes'!F$21)/(F93-F$71)&lt;0,"-",(F$66/'Model homes'!F$21)/(F93-F$71))</f>
        <v>#VALUE!</v>
      </c>
      <c r="G119" s="42" t="e">
        <f>IF((G$66/'Model homes'!G$21)/(G93-G$71)&lt;0,"-",(G$66/'Model homes'!G$21)/(G93-G$71))</f>
        <v>#VALUE!</v>
      </c>
      <c r="H119" s="42" t="e">
        <f>IF((H$66/'Model homes'!H$21)/(H93-H$71)&lt;0,"-",(H$66/'Model homes'!H$21)/(H93-H$71))</f>
        <v>#VALUE!</v>
      </c>
      <c r="J119" s="42" t="e">
        <f t="shared" si="17"/>
        <v>#VALUE!</v>
      </c>
      <c r="K119" s="42" t="e">
        <f t="shared" si="17"/>
        <v>#VALUE!</v>
      </c>
      <c r="L119" s="42" t="e">
        <f t="shared" si="17"/>
        <v>#VALUE!</v>
      </c>
      <c r="M119" s="42" t="e">
        <f t="shared" si="17"/>
        <v>#VALUE!</v>
      </c>
    </row>
    <row r="120" spans="3:40" ht="15.95" customHeight="1" x14ac:dyDescent="0.3">
      <c r="C120" s="14" t="s">
        <v>21</v>
      </c>
      <c r="D120" s="84" t="s">
        <v>512</v>
      </c>
      <c r="E120" s="42"/>
      <c r="F120" s="42"/>
      <c r="G120" s="42"/>
      <c r="H120" s="42"/>
      <c r="J120" s="42"/>
      <c r="K120" s="42"/>
      <c r="L120" s="42"/>
      <c r="M120" s="42"/>
    </row>
    <row r="121" spans="3:40" x14ac:dyDescent="0.3">
      <c r="C121" s="14" t="s">
        <v>22</v>
      </c>
      <c r="D121" s="84" t="s">
        <v>512</v>
      </c>
      <c r="E121" s="42" t="e">
        <f>IF((E$66/'Model homes'!E$21)/(E95-E$71)&lt;0,"-",(E$66/'Model homes'!E$21)/(E95-E$71))</f>
        <v>#VALUE!</v>
      </c>
      <c r="F121" s="42" t="e">
        <f>IF((F$66/'Model homes'!F$21)/(F95-F$71)&lt;0,"-",(F$66/'Model homes'!F$21)/(F95-F$71))</f>
        <v>#VALUE!</v>
      </c>
      <c r="G121" s="42" t="e">
        <f>IF((G$66/'Model homes'!G$21)/(G95-G$71)&lt;0,"-",(G$66/'Model homes'!G$21)/(G95-G$71))</f>
        <v>#VALUE!</v>
      </c>
      <c r="H121" s="42" t="e">
        <f>IF((H$66/'Model homes'!H$21)/(H95-H$71)&lt;0,"-",(H$66/'Model homes'!H$21)/(H95-H$71))</f>
        <v>#VALUE!</v>
      </c>
      <c r="J121" s="42" t="e">
        <f t="shared" si="17"/>
        <v>#VALUE!</v>
      </c>
      <c r="K121" s="42" t="e">
        <f t="shared" si="17"/>
        <v>#VALUE!</v>
      </c>
      <c r="L121" s="42" t="e">
        <f t="shared" si="17"/>
        <v>#VALUE!</v>
      </c>
      <c r="M121" s="42" t="e">
        <f t="shared" si="17"/>
        <v>#VALUE!</v>
      </c>
    </row>
    <row r="123" spans="3:40" x14ac:dyDescent="0.3">
      <c r="C123" s="51" t="s">
        <v>522</v>
      </c>
      <c r="D123" s="84"/>
      <c r="E123" s="90"/>
      <c r="F123" s="90"/>
      <c r="G123" s="90"/>
      <c r="H123" s="90"/>
      <c r="J123" s="51" t="s">
        <v>523</v>
      </c>
      <c r="R123" s="51" t="s">
        <v>524</v>
      </c>
      <c r="Z123" s="51" t="s">
        <v>525</v>
      </c>
      <c r="AH123" s="51" t="s">
        <v>526</v>
      </c>
    </row>
    <row r="124" spans="3:40" ht="29.25" x14ac:dyDescent="0.3">
      <c r="C124" s="20" t="s">
        <v>14</v>
      </c>
      <c r="D124" s="84" t="s">
        <v>527</v>
      </c>
      <c r="E124" s="97" t="e">
        <f>E31*'Model homes'!$J110*10^-6</f>
        <v>#VALUE!</v>
      </c>
      <c r="F124" s="97" t="e">
        <f>F31*'Model homes'!$J110*10^-6</f>
        <v>#VALUE!</v>
      </c>
      <c r="G124" s="97" t="e">
        <f>G31*'Model homes'!$J110*10^-6</f>
        <v>#VALUE!</v>
      </c>
      <c r="H124" s="97" t="e">
        <f>H31*'Model homes'!$J110*10^-6</f>
        <v>#VALUE!</v>
      </c>
      <c r="J124" s="209" t="s">
        <v>14</v>
      </c>
      <c r="L124" s="207" t="s">
        <v>528</v>
      </c>
      <c r="M124" s="130" t="e">
        <f>'Model homes'!$E274*E31*10^-6</f>
        <v>#DIV/0!</v>
      </c>
      <c r="N124" s="130" t="e">
        <f>'Model homes'!$E274*F31*10^-6</f>
        <v>#DIV/0!</v>
      </c>
      <c r="O124" s="130" t="e">
        <f>'Model homes'!$E274*G31*10^-6</f>
        <v>#DIV/0!</v>
      </c>
      <c r="P124" s="130" t="e">
        <f>'Model homes'!$E274*H31*10^-6</f>
        <v>#DIV/0!</v>
      </c>
      <c r="R124" s="209" t="s">
        <v>14</v>
      </c>
      <c r="T124" s="207" t="s">
        <v>529</v>
      </c>
      <c r="U124" s="130" t="e">
        <f>'Model homes'!$F274*E31*10^-6</f>
        <v>#DIV/0!</v>
      </c>
      <c r="V124" s="130" t="e">
        <f>'Model homes'!$F274*F31*10^-6</f>
        <v>#DIV/0!</v>
      </c>
      <c r="W124" s="130" t="e">
        <f>'Model homes'!$F274*G31*10^-6</f>
        <v>#DIV/0!</v>
      </c>
      <c r="X124" s="130" t="e">
        <f>'Model homes'!$F274*H31*10^-6</f>
        <v>#DIV/0!</v>
      </c>
      <c r="Z124" s="209" t="s">
        <v>14</v>
      </c>
      <c r="AB124" s="207" t="s">
        <v>530</v>
      </c>
      <c r="AC124" s="130" t="e">
        <f>'Model homes'!$G274*E31*10^-6</f>
        <v>#DIV/0!</v>
      </c>
      <c r="AD124" s="130" t="e">
        <f>'Model homes'!$G274*F31*10^-6</f>
        <v>#DIV/0!</v>
      </c>
      <c r="AE124" s="130" t="e">
        <f>'Model homes'!$G274*G31*10^-6</f>
        <v>#DIV/0!</v>
      </c>
      <c r="AF124" s="130" t="e">
        <f>'Model homes'!$G274*H31*10^-6</f>
        <v>#DIV/0!</v>
      </c>
      <c r="AH124" s="209" t="s">
        <v>14</v>
      </c>
      <c r="AJ124" s="207" t="s">
        <v>531</v>
      </c>
      <c r="AK124" s="130" t="e">
        <f>'Model homes'!$H274*E31*10^-6</f>
        <v>#DIV/0!</v>
      </c>
      <c r="AL124" s="130" t="e">
        <f>'Model homes'!$H274*F31*10^-6</f>
        <v>#DIV/0!</v>
      </c>
      <c r="AM124" s="130" t="e">
        <f>'Model homes'!$H274*G31*10^-6</f>
        <v>#DIV/0!</v>
      </c>
      <c r="AN124" s="130" t="e">
        <f>'Model homes'!$H274*H31*10^-6</f>
        <v>#DIV/0!</v>
      </c>
    </row>
    <row r="125" spans="3:40" ht="29.25" x14ac:dyDescent="0.3">
      <c r="C125" s="14" t="s">
        <v>15</v>
      </c>
      <c r="D125" s="84" t="s">
        <v>527</v>
      </c>
      <c r="E125" s="97">
        <f>E32*'Model homes'!$J111*10^-6</f>
        <v>0</v>
      </c>
      <c r="F125" s="97">
        <f>F32*'Model homes'!$J111*10^-6</f>
        <v>0</v>
      </c>
      <c r="G125" s="97">
        <f>G32*'Model homes'!$J111*10^-6</f>
        <v>0</v>
      </c>
      <c r="H125" s="97">
        <f>H32*'Model homes'!$J111*10^-6</f>
        <v>0</v>
      </c>
      <c r="J125" s="213" t="s">
        <v>15</v>
      </c>
      <c r="L125" s="207" t="s">
        <v>528</v>
      </c>
      <c r="M125" s="130">
        <f>'Model homes'!$E275*E32*10^-6</f>
        <v>4.6267806267806265E-5</v>
      </c>
      <c r="N125" s="130">
        <f>'Model homes'!$E275*F32*10^-6</f>
        <v>7.3584032617359662E-6</v>
      </c>
      <c r="O125" s="130">
        <f>'Model homes'!$E275*G32*10^-6</f>
        <v>2.1917759596784212E-5</v>
      </c>
      <c r="P125" s="130">
        <f>'Model homes'!$E275*H32*10^-6</f>
        <v>2.5111607142857142E-6</v>
      </c>
      <c r="R125" s="213" t="s">
        <v>15</v>
      </c>
      <c r="T125" s="207" t="s">
        <v>529</v>
      </c>
      <c r="U125" s="130">
        <f>'Model homes'!$F275*E32*10^-6</f>
        <v>7.1715099715099703E-4</v>
      </c>
      <c r="V125" s="130">
        <f>'Model homes'!$F275*F32*10^-6</f>
        <v>1.1405525055690747E-4</v>
      </c>
      <c r="W125" s="130">
        <f>'Model homes'!$F275*G32*10^-6</f>
        <v>3.3972527375015528E-4</v>
      </c>
      <c r="X125" s="130">
        <f>'Model homes'!$F275*H32*10^-6</f>
        <v>3.8922991071428576E-5</v>
      </c>
      <c r="Z125" s="213" t="s">
        <v>15</v>
      </c>
      <c r="AB125" s="207" t="s">
        <v>530</v>
      </c>
      <c r="AC125" s="130">
        <f>'Model homes'!$G275*E32*10^-6</f>
        <v>1.6193732193732193E-4</v>
      </c>
      <c r="AD125" s="130">
        <f>'Model homes'!$G275*F32*10^-6</f>
        <v>2.5754411416075884E-5</v>
      </c>
      <c r="AE125" s="130">
        <f>'Model homes'!$G275*G32*10^-6</f>
        <v>7.671215858874475E-5</v>
      </c>
      <c r="AF125" s="130">
        <f>'Model homes'!$G275*H32*10^-6</f>
        <v>8.789062500000001E-6</v>
      </c>
      <c r="AH125" s="213" t="s">
        <v>15</v>
      </c>
      <c r="AJ125" s="207" t="s">
        <v>531</v>
      </c>
      <c r="AK125" s="130">
        <f>'Model homes'!$H275*E32*10^-6</f>
        <v>2.3133903133903133E-5</v>
      </c>
      <c r="AL125" s="130">
        <f>'Model homes'!$H275*F32*10^-6</f>
        <v>3.6792016308679831E-6</v>
      </c>
      <c r="AM125" s="130">
        <f>'Model homes'!$H275*G32*10^-6</f>
        <v>1.0958879798392106E-5</v>
      </c>
      <c r="AN125" s="130">
        <f>'Model homes'!$H275*H32*10^-6</f>
        <v>1.2555803571428571E-6</v>
      </c>
    </row>
    <row r="126" spans="3:40" ht="29.25" x14ac:dyDescent="0.3">
      <c r="C126" s="15" t="s">
        <v>16</v>
      </c>
      <c r="D126" s="84" t="s">
        <v>527</v>
      </c>
      <c r="E126" s="97">
        <f>E33*'Model homes'!$J112*10^-6</f>
        <v>0</v>
      </c>
      <c r="F126" s="97">
        <f>F33*'Model homes'!$J112*10^-6</f>
        <v>0</v>
      </c>
      <c r="G126" s="97">
        <f>G33*'Model homes'!$J112*10^-6</f>
        <v>0</v>
      </c>
      <c r="H126" s="97">
        <f>H33*'Model homes'!$J112*10^-6</f>
        <v>0</v>
      </c>
      <c r="J126" s="210" t="s">
        <v>16</v>
      </c>
      <c r="L126" s="207" t="s">
        <v>528</v>
      </c>
      <c r="M126" s="130">
        <f>'Model homes'!$E276*E33*10^-6</f>
        <v>3.7592592592592593E-5</v>
      </c>
      <c r="N126" s="130">
        <f>'Model homes'!$E276*F33*10^-6</f>
        <v>6.1320027181133049E-6</v>
      </c>
      <c r="O126" s="130">
        <f>'Model homes'!$E276*G33*10^-6</f>
        <v>1.7908413329079783E-5</v>
      </c>
      <c r="P126" s="130">
        <f>'Model homes'!$E276*H33*10^-6</f>
        <v>2.0926339285714287E-6</v>
      </c>
      <c r="R126" s="210" t="s">
        <v>16</v>
      </c>
      <c r="T126" s="207" t="s">
        <v>529</v>
      </c>
      <c r="U126" s="130">
        <f>'Model homes'!$F276*E33*10^-6</f>
        <v>5.8268518518518511E-4</v>
      </c>
      <c r="V126" s="130">
        <f>'Model homes'!$F276*F33*10^-6</f>
        <v>9.5046042130756211E-5</v>
      </c>
      <c r="W126" s="130">
        <f>'Model homes'!$F276*G33*10^-6</f>
        <v>2.7758040660073668E-4</v>
      </c>
      <c r="X126" s="130">
        <f>'Model homes'!$F276*H33*10^-6</f>
        <v>3.2435825892857146E-5</v>
      </c>
      <c r="Z126" s="210" t="s">
        <v>16</v>
      </c>
      <c r="AB126" s="207" t="s">
        <v>530</v>
      </c>
      <c r="AC126" s="130">
        <f>'Model homes'!$G276*E33*10^-6</f>
        <v>1.3157407407407407E-4</v>
      </c>
      <c r="AD126" s="130">
        <f>'Model homes'!$G276*F33*10^-6</f>
        <v>2.146200951339657E-5</v>
      </c>
      <c r="AE126" s="130">
        <f>'Model homes'!$G276*G33*10^-6</f>
        <v>6.2679446651779243E-5</v>
      </c>
      <c r="AF126" s="130">
        <f>'Model homes'!$G276*H33*10^-6</f>
        <v>7.3242187500000006E-6</v>
      </c>
      <c r="AH126" s="210" t="s">
        <v>16</v>
      </c>
      <c r="AJ126" s="207" t="s">
        <v>531</v>
      </c>
      <c r="AK126" s="130">
        <f>'Model homes'!$H276*E33*10^-6</f>
        <v>1.8796296296296296E-5</v>
      </c>
      <c r="AL126" s="130">
        <f>'Model homes'!$H276*F33*10^-6</f>
        <v>3.0660013590566524E-6</v>
      </c>
      <c r="AM126" s="130">
        <f>'Model homes'!$H276*G33*10^-6</f>
        <v>8.9542066645398914E-6</v>
      </c>
      <c r="AN126" s="130">
        <f>'Model homes'!$H276*H33*10^-6</f>
        <v>1.0463169642857143E-6</v>
      </c>
    </row>
    <row r="127" spans="3:40" ht="29.25" x14ac:dyDescent="0.3">
      <c r="C127" s="15" t="s">
        <v>17</v>
      </c>
      <c r="D127" s="84" t="s">
        <v>527</v>
      </c>
      <c r="E127" s="97">
        <f>E34*'Model homes'!$J113*10^-6</f>
        <v>0.86613333333333331</v>
      </c>
      <c r="F127" s="97">
        <f>F34*'Model homes'!$J113*10^-6</f>
        <v>0.13774930905969729</v>
      </c>
      <c r="G127" s="97">
        <f>G34*'Model homes'!$J113*10^-6</f>
        <v>0.42292508917954824</v>
      </c>
      <c r="H127" s="97">
        <f>H34*'Model homes'!$J113*10^-6</f>
        <v>4.7008928571428577E-2</v>
      </c>
      <c r="J127" s="210" t="s">
        <v>17</v>
      </c>
      <c r="L127" s="207" t="s">
        <v>528</v>
      </c>
      <c r="M127" s="130">
        <f>'Model homes'!$E277*E34*10^-6</f>
        <v>4.3954415954415951E-4</v>
      </c>
      <c r="N127" s="130">
        <f>'Model homes'!$E277*F34*10^-6</f>
        <v>6.9904830986491668E-5</v>
      </c>
      <c r="O127" s="130">
        <f>'Model homes'!$E277*G34*10^-6</f>
        <v>2.1462544589774079E-4</v>
      </c>
      <c r="P127" s="130">
        <f>'Model homes'!$E277*H34*10^-6</f>
        <v>2.3856026785714289E-5</v>
      </c>
      <c r="R127" s="210" t="s">
        <v>17</v>
      </c>
      <c r="T127" s="207" t="s">
        <v>529</v>
      </c>
      <c r="U127" s="130">
        <f>'Model homes'!$F277*E34*10^-6</f>
        <v>6.477492877492877E-4</v>
      </c>
      <c r="V127" s="130">
        <f>'Model homes'!$F277*F34*10^-6</f>
        <v>1.0301764566430354E-4</v>
      </c>
      <c r="W127" s="130">
        <f>'Model homes'!$F277*G34*10^-6</f>
        <v>3.1629013079667064E-4</v>
      </c>
      <c r="X127" s="130">
        <f>'Model homes'!$F277*H34*10^-6</f>
        <v>3.5156250000000004E-5</v>
      </c>
      <c r="Z127" s="210" t="s">
        <v>17</v>
      </c>
      <c r="AB127" s="207" t="s">
        <v>530</v>
      </c>
      <c r="AC127" s="130">
        <f>'Model homes'!$G277*E34*10^-6</f>
        <v>2.3133903133903133E-5</v>
      </c>
      <c r="AD127" s="130">
        <f>'Model homes'!$G277*F34*10^-6</f>
        <v>3.6792016308679831E-6</v>
      </c>
      <c r="AE127" s="130">
        <f>'Model homes'!$G277*G34*10^-6</f>
        <v>1.1296076099881095E-5</v>
      </c>
      <c r="AF127" s="130">
        <f>'Model homes'!$G277*H34*10^-6</f>
        <v>1.2555803571428571E-6</v>
      </c>
      <c r="AH127" s="210" t="s">
        <v>17</v>
      </c>
      <c r="AJ127" s="207" t="s">
        <v>531</v>
      </c>
      <c r="AK127" s="130">
        <f>'Model homes'!$H277*E34*10^-6</f>
        <v>2.3133903133903133E-5</v>
      </c>
      <c r="AL127" s="130">
        <f>'Model homes'!$H277*F34*10^-6</f>
        <v>3.6792016308679831E-6</v>
      </c>
      <c r="AM127" s="130">
        <f>'Model homes'!$H277*G34*10^-6</f>
        <v>1.1296076099881095E-5</v>
      </c>
      <c r="AN127" s="130">
        <f>'Model homes'!$H277*H34*10^-6</f>
        <v>1.2555803571428571E-6</v>
      </c>
    </row>
    <row r="128" spans="3:40" ht="29.25" x14ac:dyDescent="0.3">
      <c r="C128" s="15" t="s">
        <v>18</v>
      </c>
      <c r="D128" s="84" t="s">
        <v>527</v>
      </c>
      <c r="E128" s="97">
        <f>E35*'Model homes'!$J114*10^-6</f>
        <v>0.43306666666666666</v>
      </c>
      <c r="F128" s="97">
        <f>F35*'Model homes'!$J114*10^-6</f>
        <v>6.9809604591339794E-2</v>
      </c>
      <c r="G128" s="97">
        <f>G35*'Model homes'!$J114*10^-6</f>
        <v>0.21146254458977409</v>
      </c>
      <c r="H128" s="97">
        <f>H35*'Model homes'!$J114*10^-6</f>
        <v>2.3823529411764705E-2</v>
      </c>
      <c r="J128" s="210" t="s">
        <v>18</v>
      </c>
      <c r="L128" s="207" t="s">
        <v>528</v>
      </c>
      <c r="M128" s="130">
        <f>'Model homes'!$E278*E35*10^-6</f>
        <v>3.3833333333333328E-4</v>
      </c>
      <c r="N128" s="130">
        <f>'Model homes'!$E278*F35*10^-6</f>
        <v>5.4538753586984209E-5</v>
      </c>
      <c r="O128" s="130">
        <f>'Model homes'!$E278*G35*10^-6</f>
        <v>1.65205112960761E-4</v>
      </c>
      <c r="P128" s="130">
        <f>'Model homes'!$E278*H35*10^-6</f>
        <v>1.8612132352941175E-5</v>
      </c>
      <c r="R128" s="210" t="s">
        <v>18</v>
      </c>
      <c r="T128" s="207" t="s">
        <v>529</v>
      </c>
      <c r="U128" s="130">
        <f>'Model homes'!$F278*E35*10^-6</f>
        <v>1.3157407407407406E-3</v>
      </c>
      <c r="V128" s="130">
        <f>'Model homes'!$F278*F35*10^-6</f>
        <v>2.1209515283827194E-4</v>
      </c>
      <c r="W128" s="130">
        <f>'Model homes'!$F278*G35*10^-6</f>
        <v>6.4246432818073718E-4</v>
      </c>
      <c r="X128" s="130">
        <f>'Model homes'!$F278*H35*10^-6</f>
        <v>7.2380514705882348E-5</v>
      </c>
      <c r="Z128" s="210" t="s">
        <v>18</v>
      </c>
      <c r="AB128" s="207" t="s">
        <v>530</v>
      </c>
      <c r="AC128" s="130">
        <f>'Model homes'!$G278*E35*10^-6</f>
        <v>1.8796296296296296E-5</v>
      </c>
      <c r="AD128" s="130">
        <f>'Model homes'!$G278*F35*10^-6</f>
        <v>3.0299307548324567E-6</v>
      </c>
      <c r="AE128" s="130">
        <f>'Model homes'!$G278*G35*10^-6</f>
        <v>9.1780618311533896E-6</v>
      </c>
      <c r="AF128" s="130">
        <f>'Model homes'!$G278*H35*10^-6</f>
        <v>1.0340073529411766E-6</v>
      </c>
      <c r="AH128" s="210" t="s">
        <v>18</v>
      </c>
      <c r="AJ128" s="207" t="s">
        <v>531</v>
      </c>
      <c r="AK128" s="130">
        <f>'Model homes'!$H278*E35*10^-6</f>
        <v>1.8796296296296296E-5</v>
      </c>
      <c r="AL128" s="130">
        <f>'Model homes'!$H278*F35*10^-6</f>
        <v>3.0299307548324567E-6</v>
      </c>
      <c r="AM128" s="130">
        <f>'Model homes'!$H278*G35*10^-6</f>
        <v>9.1780618311533896E-6</v>
      </c>
      <c r="AN128" s="130">
        <f>'Model homes'!$H278*H35*10^-6</f>
        <v>1.0340073529411766E-6</v>
      </c>
    </row>
    <row r="129" spans="3:40" ht="29.25" x14ac:dyDescent="0.3">
      <c r="C129" s="15" t="s">
        <v>19</v>
      </c>
      <c r="D129" s="84" t="s">
        <v>527</v>
      </c>
      <c r="E129" s="97">
        <f>E36*'Model homes'!$J115*10^-6</f>
        <v>0.52779999999999994</v>
      </c>
      <c r="F129" s="97">
        <f>F36*'Model homes'!$J115*10^-6</f>
        <v>8.4091147972489622E-2</v>
      </c>
      <c r="G129" s="97">
        <f>G36*'Model homes'!$J115*10^-6</f>
        <v>0.25771997621878717</v>
      </c>
      <c r="H129" s="97">
        <f>H36*'Model homes'!$J115*10^-6</f>
        <v>2.8697311046511628E-2</v>
      </c>
      <c r="J129" s="210" t="s">
        <v>19</v>
      </c>
      <c r="L129" s="207" t="s">
        <v>528</v>
      </c>
      <c r="M129" s="130">
        <f>'Model homes'!$E279*E36*10^-6</f>
        <v>3.3833333333333328E-4</v>
      </c>
      <c r="N129" s="130">
        <f>'Model homes'!$E279*F36*10^-6</f>
        <v>5.3904582033647187E-5</v>
      </c>
      <c r="O129" s="130">
        <f>'Model homes'!$E279*G36*10^-6</f>
        <v>1.65205112960761E-4</v>
      </c>
      <c r="P129" s="130">
        <f>'Model homes'!$E279*H36*10^-6</f>
        <v>1.8395712209302323E-5</v>
      </c>
      <c r="R129" s="210" t="s">
        <v>19</v>
      </c>
      <c r="T129" s="207" t="s">
        <v>529</v>
      </c>
      <c r="U129" s="130">
        <f>'Model homes'!$F279*E36*10^-6</f>
        <v>1.3157407407407406E-3</v>
      </c>
      <c r="V129" s="130">
        <f>'Model homes'!$F279*F36*10^-6</f>
        <v>2.0962893013085017E-4</v>
      </c>
      <c r="W129" s="130">
        <f>'Model homes'!$F279*G36*10^-6</f>
        <v>6.4246432818073718E-4</v>
      </c>
      <c r="X129" s="130">
        <f>'Model homes'!$F279*H36*10^-6</f>
        <v>7.1538880813953477E-5</v>
      </c>
      <c r="Z129" s="210" t="s">
        <v>19</v>
      </c>
      <c r="AB129" s="207" t="s">
        <v>530</v>
      </c>
      <c r="AC129" s="130">
        <f>'Model homes'!$G279*E36*10^-6</f>
        <v>1.8796296296296296E-5</v>
      </c>
      <c r="AD129" s="130">
        <f>'Model homes'!$G279*F36*10^-6</f>
        <v>2.9946990018692883E-6</v>
      </c>
      <c r="AE129" s="130">
        <f>'Model homes'!$G279*G36*10^-6</f>
        <v>9.1780618311533896E-6</v>
      </c>
      <c r="AF129" s="130">
        <f>'Model homes'!$G279*H36*10^-6</f>
        <v>1.021984011627907E-6</v>
      </c>
      <c r="AH129" s="210" t="s">
        <v>19</v>
      </c>
      <c r="AJ129" s="207" t="s">
        <v>531</v>
      </c>
      <c r="AK129" s="130">
        <f>'Model homes'!$H279*E36*10^-6</f>
        <v>1.8796296296296296E-5</v>
      </c>
      <c r="AL129" s="130">
        <f>'Model homes'!$H279*F36*10^-6</f>
        <v>2.9946990018692883E-6</v>
      </c>
      <c r="AM129" s="130">
        <f>'Model homes'!$H279*G36*10^-6</f>
        <v>9.1780618311533896E-6</v>
      </c>
      <c r="AN129" s="130">
        <f>'Model homes'!$H279*H36*10^-6</f>
        <v>1.021984011627907E-6</v>
      </c>
    </row>
    <row r="130" spans="3:40" ht="29.25" x14ac:dyDescent="0.3">
      <c r="C130" s="14" t="s">
        <v>20</v>
      </c>
      <c r="D130" s="84" t="s">
        <v>527</v>
      </c>
      <c r="E130" s="97">
        <f>E37*'Model homes'!$J116*10^-6</f>
        <v>0.35409568627450982</v>
      </c>
      <c r="F130" s="97">
        <f>F37*'Model homes'!$J116*10^-6</f>
        <v>5.9252907920020088E-2</v>
      </c>
      <c r="G130" s="97">
        <f>G37*'Model homes'!$J116*10^-6</f>
        <v>0.16892697527573905</v>
      </c>
      <c r="H130" s="97">
        <f>H37*'Model homes'!$J116*10^-6</f>
        <v>2.0220905172413792E-2</v>
      </c>
      <c r="J130" s="213" t="s">
        <v>20</v>
      </c>
      <c r="L130" s="207" t="s">
        <v>528</v>
      </c>
      <c r="M130" s="130">
        <f>'Model homes'!$E280*E37*10^-6</f>
        <v>0</v>
      </c>
      <c r="N130" s="130">
        <f>'Model homes'!$E280*F37*10^-6</f>
        <v>0</v>
      </c>
      <c r="O130" s="130">
        <f>'Model homes'!$E280*G37*10^-6</f>
        <v>0</v>
      </c>
      <c r="P130" s="130">
        <f>'Model homes'!$E280*H37*10^-6</f>
        <v>0</v>
      </c>
      <c r="R130" s="213" t="s">
        <v>20</v>
      </c>
      <c r="T130" s="207" t="s">
        <v>529</v>
      </c>
      <c r="U130" s="130">
        <f>'Model homes'!$F280*E37*10^-6</f>
        <v>2.2997821350762528E-4</v>
      </c>
      <c r="V130" s="130">
        <f>'Model homes'!$F280*F37*10^-6</f>
        <v>3.8483603265400739E-5</v>
      </c>
      <c r="W130" s="130">
        <f>'Model homes'!$F280*G37*10^-6</f>
        <v>1.0971476211953476E-4</v>
      </c>
      <c r="X130" s="130">
        <f>'Model homes'!$F280*H37*10^-6</f>
        <v>1.3133081896551726E-5</v>
      </c>
      <c r="Z130" s="213" t="s">
        <v>20</v>
      </c>
      <c r="AB130" s="207" t="s">
        <v>530</v>
      </c>
      <c r="AC130" s="130">
        <f>'Model homes'!$G280*E37*10^-6</f>
        <v>0</v>
      </c>
      <c r="AD130" s="130">
        <f>'Model homes'!$G280*F37*10^-6</f>
        <v>0</v>
      </c>
      <c r="AE130" s="130">
        <f>'Model homes'!$G280*G37*10^-6</f>
        <v>0</v>
      </c>
      <c r="AF130" s="130">
        <f>'Model homes'!$G280*H37*10^-6</f>
        <v>0</v>
      </c>
      <c r="AH130" s="213" t="s">
        <v>20</v>
      </c>
      <c r="AJ130" s="207" t="s">
        <v>531</v>
      </c>
      <c r="AK130" s="130">
        <f>'Model homes'!$H280*E37*10^-6</f>
        <v>0</v>
      </c>
      <c r="AL130" s="130">
        <f>'Model homes'!$H280*F37*10^-6</f>
        <v>0</v>
      </c>
      <c r="AM130" s="130">
        <f>'Model homes'!$H280*G37*10^-6</f>
        <v>0</v>
      </c>
      <c r="AN130" s="130">
        <f>'Model homes'!$H280*H37*10^-6</f>
        <v>0</v>
      </c>
    </row>
    <row r="131" spans="3:40" ht="29.25" x14ac:dyDescent="0.3">
      <c r="C131" s="14" t="s">
        <v>21</v>
      </c>
      <c r="D131" s="84" t="s">
        <v>527</v>
      </c>
      <c r="E131" s="97"/>
      <c r="F131" s="97"/>
      <c r="G131" s="97"/>
      <c r="H131" s="97"/>
      <c r="J131" s="213" t="s">
        <v>21</v>
      </c>
      <c r="L131" s="207" t="s">
        <v>528</v>
      </c>
      <c r="M131" s="130"/>
      <c r="N131" s="130"/>
      <c r="O131" s="130"/>
      <c r="P131" s="130"/>
      <c r="R131" s="213" t="s">
        <v>21</v>
      </c>
      <c r="T131" s="207" t="s">
        <v>529</v>
      </c>
      <c r="U131" s="130"/>
      <c r="V131" s="130"/>
      <c r="W131" s="130"/>
      <c r="X131" s="130"/>
      <c r="Z131" s="213" t="s">
        <v>21</v>
      </c>
      <c r="AB131" s="207" t="s">
        <v>530</v>
      </c>
      <c r="AC131" s="130"/>
      <c r="AD131" s="130"/>
      <c r="AE131" s="130"/>
      <c r="AF131" s="130"/>
      <c r="AH131" s="213" t="s">
        <v>21</v>
      </c>
      <c r="AJ131" s="207" t="s">
        <v>531</v>
      </c>
      <c r="AK131" s="130"/>
      <c r="AL131" s="130"/>
      <c r="AM131" s="130"/>
      <c r="AN131" s="130"/>
    </row>
    <row r="132" spans="3:40" ht="29.25" x14ac:dyDescent="0.3">
      <c r="C132" s="14" t="s">
        <v>22</v>
      </c>
      <c r="D132" s="84" t="s">
        <v>527</v>
      </c>
      <c r="E132" s="97" t="e">
        <f>E39*'Model homes'!$J118*10^-6</f>
        <v>#N/A</v>
      </c>
      <c r="F132" s="97" t="e">
        <f>F39*'Model homes'!$J118*10^-6</f>
        <v>#N/A</v>
      </c>
      <c r="G132" s="97" t="e">
        <f>G39*'Model homes'!$J118*10^-6</f>
        <v>#N/A</v>
      </c>
      <c r="H132" s="97" t="e">
        <f>H39*'Model homes'!$J118*10^-6</f>
        <v>#N/A</v>
      </c>
      <c r="J132" s="213" t="s">
        <v>22</v>
      </c>
      <c r="L132" s="207" t="s">
        <v>528</v>
      </c>
      <c r="M132" s="130" t="e">
        <f>'Model homes'!$E282*E39*10^-6</f>
        <v>#DIV/0!</v>
      </c>
      <c r="N132" s="130" t="e">
        <f>'Model homes'!$E282*F39*10^-6</f>
        <v>#DIV/0!</v>
      </c>
      <c r="O132" s="130" t="e">
        <f>'Model homes'!$E282*G39*10^-6</f>
        <v>#DIV/0!</v>
      </c>
      <c r="P132" s="130" t="e">
        <f>'Model homes'!$E282*H39*10^-6</f>
        <v>#DIV/0!</v>
      </c>
      <c r="R132" s="213" t="s">
        <v>22</v>
      </c>
      <c r="T132" s="207" t="s">
        <v>529</v>
      </c>
      <c r="U132" s="130" t="e">
        <f>'Model homes'!$F282*E39*10^-6</f>
        <v>#DIV/0!</v>
      </c>
      <c r="V132" s="130" t="e">
        <f>'Model homes'!$F282*F39*10^-6</f>
        <v>#DIV/0!</v>
      </c>
      <c r="W132" s="130" t="e">
        <f>'Model homes'!$F282*G39*10^-6</f>
        <v>#DIV/0!</v>
      </c>
      <c r="X132" s="130" t="e">
        <f>'Model homes'!$F282*H39*10^-6</f>
        <v>#DIV/0!</v>
      </c>
      <c r="Z132" s="213" t="s">
        <v>22</v>
      </c>
      <c r="AB132" s="207" t="s">
        <v>530</v>
      </c>
      <c r="AC132" s="130" t="e">
        <f>'Model homes'!$G282*E39*10^-6</f>
        <v>#DIV/0!</v>
      </c>
      <c r="AD132" s="130" t="e">
        <f>'Model homes'!$G282*F39*10^-6</f>
        <v>#DIV/0!</v>
      </c>
      <c r="AE132" s="130" t="e">
        <f>'Model homes'!$G282*G39*10^-6</f>
        <v>#DIV/0!</v>
      </c>
      <c r="AF132" s="130" t="e">
        <f>'Model homes'!$G282*H39*10^-6</f>
        <v>#DIV/0!</v>
      </c>
      <c r="AH132" s="213" t="s">
        <v>22</v>
      </c>
      <c r="AJ132" s="207" t="s">
        <v>531</v>
      </c>
      <c r="AK132" s="130" t="e">
        <f>'Model homes'!$H282*E39*10^-6</f>
        <v>#DIV/0!</v>
      </c>
      <c r="AL132" s="130" t="e">
        <f>'Model homes'!$H282*F39*10^-6</f>
        <v>#DIV/0!</v>
      </c>
      <c r="AM132" s="130" t="e">
        <f>'Model homes'!$H282*G39*10^-6</f>
        <v>#DIV/0!</v>
      </c>
      <c r="AN132" s="130" t="e">
        <f>'Model homes'!$H282*H39*10^-6</f>
        <v>#DIV/0!</v>
      </c>
    </row>
    <row r="133" spans="3:40" x14ac:dyDescent="0.3">
      <c r="J133" s="26"/>
      <c r="L133" s="207"/>
      <c r="R133" s="26"/>
      <c r="T133" s="207"/>
      <c r="Z133" s="26"/>
      <c r="AB133" s="207"/>
      <c r="AH133" s="26"/>
      <c r="AJ133" s="207"/>
    </row>
    <row r="134" spans="3:40" x14ac:dyDescent="0.3">
      <c r="C134" s="51" t="s">
        <v>313</v>
      </c>
      <c r="E134" s="106"/>
      <c r="J134" s="51" t="s">
        <v>532</v>
      </c>
      <c r="R134" s="51" t="s">
        <v>533</v>
      </c>
      <c r="Z134" s="51" t="s">
        <v>534</v>
      </c>
      <c r="AH134" s="51" t="s">
        <v>535</v>
      </c>
    </row>
    <row r="135" spans="3:40" x14ac:dyDescent="0.3">
      <c r="C135" s="20" t="s">
        <v>14</v>
      </c>
      <c r="D135" s="84" t="s">
        <v>536</v>
      </c>
      <c r="E135" s="42" t="e">
        <f>LOOKUP(E$73,'Model homes'!$C$203:$C$227,'Model homes'!$F$203:$F$227)*E124</f>
        <v>#VALUE!</v>
      </c>
      <c r="F135" s="42" t="e">
        <f>LOOKUP(F$73,'Model homes'!$C$203:$C$227,'Model homes'!$F$203:$F$227)*F124</f>
        <v>#VALUE!</v>
      </c>
      <c r="G135" s="42" t="e">
        <f>LOOKUP(G$73,'Model homes'!$C$203:$C$227,'Model homes'!$F$203:$F$227)*G124</f>
        <v>#VALUE!</v>
      </c>
      <c r="H135" s="42" t="e">
        <f>LOOKUP(H$73,'Model homes'!$C$203:$C$227,'Model homes'!$F$203:$F$227)*H124</f>
        <v>#VALUE!</v>
      </c>
      <c r="J135" s="209" t="s">
        <v>14</v>
      </c>
      <c r="L135" s="207" t="s">
        <v>536</v>
      </c>
      <c r="M135" s="159" t="e">
        <f>LOOKUP(E$73,'Model homes'!$C$351:$C$375,'Model homes'!$E$351:$E$375)*M124</f>
        <v>#DIV/0!</v>
      </c>
      <c r="N135" s="159" t="e">
        <f>LOOKUP(F$73,'Model homes'!$C$351:$C$375,'Model homes'!$E$351:$E$375)*N124</f>
        <v>#DIV/0!</v>
      </c>
      <c r="O135" s="159" t="e">
        <f>LOOKUP(G$73,'Model homes'!$C$351:$C$375,'Model homes'!$E$351:$E$375)*O124</f>
        <v>#DIV/0!</v>
      </c>
      <c r="P135" s="159" t="e">
        <f>LOOKUP(H$73,'Model homes'!$C$351:$C$375,'Model homes'!$E$351:$E$375)*P124</f>
        <v>#DIV/0!</v>
      </c>
      <c r="R135" s="209" t="s">
        <v>14</v>
      </c>
      <c r="T135" s="207" t="s">
        <v>536</v>
      </c>
      <c r="U135" s="159" t="e">
        <f>LOOKUP(E$73,'Model homes'!$C$351:$C$375,'Model homes'!$F$351:$F$375)*U124</f>
        <v>#DIV/0!</v>
      </c>
      <c r="V135" s="159" t="e">
        <f>LOOKUP(F$73,'Model homes'!$C$351:$C$375,'Model homes'!$F$351:$F$375)*V124</f>
        <v>#DIV/0!</v>
      </c>
      <c r="W135" s="159" t="e">
        <f>LOOKUP(G$73,'Model homes'!$C$351:$C$375,'Model homes'!$F$351:$F$375)*W124</f>
        <v>#DIV/0!</v>
      </c>
      <c r="X135" s="159" t="e">
        <f>LOOKUP(H$73,'Model homes'!$C$351:$C$375,'Model homes'!$F$351:$F$375)*X124</f>
        <v>#DIV/0!</v>
      </c>
      <c r="Z135" s="209" t="s">
        <v>14</v>
      </c>
      <c r="AB135" s="207" t="s">
        <v>536</v>
      </c>
      <c r="AC135" s="159" t="e">
        <f>LOOKUP(E$73,'Model homes'!$C$351:$C$375,'Model homes'!$G$351:$G$375)*AC124</f>
        <v>#DIV/0!</v>
      </c>
      <c r="AD135" s="159" t="e">
        <f>LOOKUP(F$73,'Model homes'!$C$351:$C$375,'Model homes'!$G$351:$G$375)*AD124</f>
        <v>#DIV/0!</v>
      </c>
      <c r="AE135" s="159" t="e">
        <f>LOOKUP(G$73,'Model homes'!$C$351:$C$375,'Model homes'!$G$351:$G$375)*AE124</f>
        <v>#DIV/0!</v>
      </c>
      <c r="AF135" s="159" t="e">
        <f>LOOKUP(H$73,'Model homes'!$C$351:$C$375,'Model homes'!$G$351:$G$375)*AF124</f>
        <v>#DIV/0!</v>
      </c>
      <c r="AH135" s="209" t="s">
        <v>14</v>
      </c>
      <c r="AJ135" s="207" t="s">
        <v>536</v>
      </c>
      <c r="AK135" s="159" t="e">
        <f>LOOKUP(E$73,'Model homes'!$C$351:$C$375,'Model homes'!$H$351:$H$375)*AK124</f>
        <v>#DIV/0!</v>
      </c>
      <c r="AL135" s="159" t="e">
        <f>LOOKUP(F$73,'Model homes'!$C$351:$C$375,'Model homes'!$H$351:$H$375)*AL124</f>
        <v>#DIV/0!</v>
      </c>
      <c r="AM135" s="159" t="e">
        <f>LOOKUP(G$73,'Model homes'!$C$351:$C$375,'Model homes'!$H$351:$H$375)*AM124</f>
        <v>#DIV/0!</v>
      </c>
      <c r="AN135" s="159" t="e">
        <f>LOOKUP(H$73,'Model homes'!$C$351:$C$375,'Model homes'!$H$351:$H$375)*AN124</f>
        <v>#DIV/0!</v>
      </c>
    </row>
    <row r="136" spans="3:40" x14ac:dyDescent="0.3">
      <c r="C136" s="14" t="s">
        <v>15</v>
      </c>
      <c r="D136" s="84" t="s">
        <v>536</v>
      </c>
      <c r="E136" s="42">
        <f>LOOKUP(E$73,'Model homes'!$C$203:$C$227,'Model homes'!$F$203:$F$227)*E125</f>
        <v>0</v>
      </c>
      <c r="F136" s="42">
        <f>LOOKUP(F$73,'Model homes'!$C$203:$C$227,'Model homes'!$F$203:$F$227)*F125</f>
        <v>0</v>
      </c>
      <c r="G136" s="42">
        <f>LOOKUP(G$73,'Model homes'!$C$203:$C$227,'Model homes'!$F$203:$F$227)*G125</f>
        <v>0</v>
      </c>
      <c r="H136" s="42">
        <f>LOOKUP(H$73,'Model homes'!$C$203:$C$227,'Model homes'!$F$203:$F$227)*H125</f>
        <v>0</v>
      </c>
      <c r="J136" s="213" t="s">
        <v>15</v>
      </c>
      <c r="L136" s="207" t="s">
        <v>536</v>
      </c>
      <c r="M136" s="42">
        <f>LOOKUP(E$73,'Model homes'!$C$351:$C$375,'Model homes'!$E$351:$E$375)*M125</f>
        <v>0.8100493777590283</v>
      </c>
      <c r="N136" s="42">
        <f>LOOKUP(F$73,'Model homes'!$C$351:$C$375,'Model homes'!$E$351:$E$375)*N125</f>
        <v>0.128829751490006</v>
      </c>
      <c r="O136" s="42">
        <f>LOOKUP(G$73,'Model homes'!$C$351:$C$375,'Model homes'!$E$351:$E$375)*O125</f>
        <v>0.38373264166623799</v>
      </c>
      <c r="P136" s="42">
        <f>LOOKUP(H$73,'Model homes'!$C$351:$C$375,'Model homes'!$E$351:$E$375)*P125</f>
        <v>4.3965001545263609E-2</v>
      </c>
      <c r="R136" s="213" t="s">
        <v>15</v>
      </c>
      <c r="T136" s="207" t="s">
        <v>536</v>
      </c>
      <c r="U136" s="42">
        <f>LOOKUP(E$73,'Model homes'!$C$351:$C$375,'Model homes'!$F$351:$F$375)*U125</f>
        <v>10.973949084959237</v>
      </c>
      <c r="V136" s="42">
        <f>LOOKUP(F$73,'Model homes'!$C$351:$C$375,'Model homes'!$F$351:$F$375)*V125</f>
        <v>1.7452900678603362</v>
      </c>
      <c r="W136" s="42">
        <f>LOOKUP(G$73,'Model homes'!$C$351:$C$375,'Model homes'!$F$351:$F$375)*W125</f>
        <v>5.1985256547347181</v>
      </c>
      <c r="X136" s="42">
        <f>LOOKUP(H$73,'Model homes'!$C$351:$C$375,'Model homes'!$F$351:$F$375)*X125</f>
        <v>0.59560528249847156</v>
      </c>
      <c r="Z136" s="213" t="s">
        <v>15</v>
      </c>
      <c r="AB136" s="207" t="s">
        <v>536</v>
      </c>
      <c r="AC136" s="42">
        <f>LOOKUP(E$73,'Model homes'!$C$351:$C$375,'Model homes'!$G$351:$G$375)*AC125</f>
        <v>4.9336586880782187</v>
      </c>
      <c r="AD136" s="42">
        <f>LOOKUP(F$73,'Model homes'!$C$351:$C$375,'Model homes'!$G$351:$G$375)*AD125</f>
        <v>0.78464602303626918</v>
      </c>
      <c r="AE136" s="42">
        <f>LOOKUP(G$73,'Model homes'!$C$351:$C$375,'Model homes'!$G$351:$G$375)*AE125</f>
        <v>2.3371487386279157</v>
      </c>
      <c r="AF136" s="42">
        <f>LOOKUP(H$73,'Model homes'!$C$351:$C$375,'Model homes'!$G$351:$G$375)*AF125</f>
        <v>0.26777171589864185</v>
      </c>
      <c r="AH136" s="213" t="s">
        <v>15</v>
      </c>
      <c r="AJ136" s="207" t="s">
        <v>536</v>
      </c>
      <c r="AK136" s="42">
        <f>LOOKUP(E$73,'Model homes'!$C$351:$C$375,'Model homes'!$H$351:$H$375)*AK125</f>
        <v>3.8269452271947127E-2</v>
      </c>
      <c r="AL136" s="42">
        <f>LOOKUP(F$73,'Model homes'!$C$351:$C$375,'Model homes'!$H$351:$H$375)*AL125</f>
        <v>6.0863499944817353E-3</v>
      </c>
      <c r="AM136" s="42">
        <f>LOOKUP(G$73,'Model homes'!$C$351:$C$375,'Model homes'!$H$351:$H$375)*AM125</f>
        <v>1.8128818339519567E-2</v>
      </c>
      <c r="AN136" s="42">
        <f>LOOKUP(H$73,'Model homes'!$C$351:$C$375,'Model homes'!$H$351:$H$375)*AN125</f>
        <v>2.0770542814651217E-3</v>
      </c>
    </row>
    <row r="137" spans="3:40" x14ac:dyDescent="0.3">
      <c r="C137" s="15" t="s">
        <v>16</v>
      </c>
      <c r="D137" s="84" t="s">
        <v>536</v>
      </c>
      <c r="E137" s="42">
        <f>LOOKUP(E$73,'Model homes'!$C$203:$C$227,'Model homes'!$F$203:$F$227)*E126</f>
        <v>0</v>
      </c>
      <c r="F137" s="42">
        <f>LOOKUP(F$73,'Model homes'!$C$203:$C$227,'Model homes'!$F$203:$F$227)*F126</f>
        <v>0</v>
      </c>
      <c r="G137" s="42">
        <f>LOOKUP(G$73,'Model homes'!$C$203:$C$227,'Model homes'!$F$203:$F$227)*G126</f>
        <v>0</v>
      </c>
      <c r="H137" s="42">
        <f>LOOKUP(H$73,'Model homes'!$C$203:$C$227,'Model homes'!$F$203:$F$227)*H126</f>
        <v>0</v>
      </c>
      <c r="J137" s="210" t="s">
        <v>16</v>
      </c>
      <c r="L137" s="207" t="s">
        <v>536</v>
      </c>
      <c r="M137" s="42">
        <f>LOOKUP(E$73,'Model homes'!$C$351:$C$375,'Model homes'!$E$351:$E$375)*M126</f>
        <v>0.65816511942921052</v>
      </c>
      <c r="N137" s="42">
        <f>LOOKUP(F$73,'Model homes'!$C$351:$C$375,'Model homes'!$E$351:$E$375)*N126</f>
        <v>0.10735812624167167</v>
      </c>
      <c r="O137" s="42">
        <f>LOOKUP(G$73,'Model homes'!$C$351:$C$375,'Model homes'!$E$351:$E$375)*O126</f>
        <v>0.31353764623948716</v>
      </c>
      <c r="P137" s="42">
        <f>LOOKUP(H$73,'Model homes'!$C$351:$C$375,'Model homes'!$E$351:$E$375)*P126</f>
        <v>3.6637501287719677E-2</v>
      </c>
      <c r="R137" s="210" t="s">
        <v>16</v>
      </c>
      <c r="T137" s="207" t="s">
        <v>536</v>
      </c>
      <c r="U137" s="42">
        <f>LOOKUP(E$73,'Model homes'!$C$351:$C$375,'Model homes'!$F$351:$F$375)*U126</f>
        <v>8.9163336315293815</v>
      </c>
      <c r="V137" s="42">
        <f>LOOKUP(F$73,'Model homes'!$C$351:$C$375,'Model homes'!$F$351:$F$375)*V126</f>
        <v>1.4544083898836131</v>
      </c>
      <c r="W137" s="42">
        <f>LOOKUP(G$73,'Model homes'!$C$351:$C$375,'Model homes'!$F$351:$F$375)*W126</f>
        <v>4.247575839844222</v>
      </c>
      <c r="X137" s="42">
        <f>LOOKUP(H$73,'Model homes'!$C$351:$C$375,'Model homes'!$F$351:$F$375)*X126</f>
        <v>0.496337735415393</v>
      </c>
      <c r="Z137" s="210" t="s">
        <v>16</v>
      </c>
      <c r="AB137" s="207" t="s">
        <v>536</v>
      </c>
      <c r="AC137" s="42">
        <f>LOOKUP(E$73,'Model homes'!$C$351:$C$375,'Model homes'!$G$351:$G$375)*AC126</f>
        <v>4.0085976840635524</v>
      </c>
      <c r="AD137" s="42">
        <f>LOOKUP(F$73,'Model homes'!$C$351:$C$375,'Model homes'!$G$351:$G$375)*AD126</f>
        <v>0.65387168586355759</v>
      </c>
      <c r="AE137" s="42">
        <f>LOOKUP(G$73,'Model homes'!$C$351:$C$375,'Model homes'!$G$351:$G$375)*AE126</f>
        <v>1.9096215303423214</v>
      </c>
      <c r="AF137" s="42">
        <f>LOOKUP(H$73,'Model homes'!$C$351:$C$375,'Model homes'!$G$351:$G$375)*AF126</f>
        <v>0.22314309658220155</v>
      </c>
      <c r="AH137" s="210" t="s">
        <v>16</v>
      </c>
      <c r="AJ137" s="207" t="s">
        <v>536</v>
      </c>
      <c r="AK137" s="42">
        <f>LOOKUP(E$73,'Model homes'!$C$351:$C$375,'Model homes'!$H$351:$H$375)*AK126</f>
        <v>3.1093929970957047E-2</v>
      </c>
      <c r="AL137" s="42">
        <f>LOOKUP(F$73,'Model homes'!$C$351:$C$375,'Model homes'!$H$351:$H$375)*AL126</f>
        <v>5.0719583287347787E-3</v>
      </c>
      <c r="AM137" s="42">
        <f>LOOKUP(G$73,'Model homes'!$C$351:$C$375,'Model homes'!$H$351:$H$375)*AM126</f>
        <v>1.4812571082290378E-2</v>
      </c>
      <c r="AN137" s="42">
        <f>LOOKUP(H$73,'Model homes'!$C$351:$C$375,'Model homes'!$H$351:$H$375)*AN126</f>
        <v>1.7308785678876017E-3</v>
      </c>
    </row>
    <row r="138" spans="3:40" x14ac:dyDescent="0.3">
      <c r="C138" s="15" t="s">
        <v>17</v>
      </c>
      <c r="D138" s="84" t="s">
        <v>536</v>
      </c>
      <c r="E138" s="42">
        <f>LOOKUP(E$73,'Model homes'!$C$203:$C$227,'Model homes'!$F$203:$F$227)*E127</f>
        <v>269.63943245662995</v>
      </c>
      <c r="F138" s="42">
        <f>LOOKUP(F$73,'Model homes'!$C$203:$C$227,'Model homes'!$F$203:$F$227)*F127</f>
        <v>42.883288388411742</v>
      </c>
      <c r="G138" s="42">
        <f>LOOKUP(G$73,'Model homes'!$C$203:$C$227,'Model homes'!$F$203:$F$227)*G127</f>
        <v>131.66250117538831</v>
      </c>
      <c r="H138" s="42">
        <f>LOOKUP(H$73,'Model homes'!$C$203:$C$227,'Model homes'!$F$203:$F$227)*H127</f>
        <v>14.634537585122681</v>
      </c>
      <c r="J138" s="210" t="s">
        <v>17</v>
      </c>
      <c r="L138" s="207" t="s">
        <v>536</v>
      </c>
      <c r="M138" s="42">
        <f>LOOKUP(E$73,'Model homes'!$C$351:$C$375,'Model homes'!$E$351:$E$375)*M127</f>
        <v>7.6954690887107686</v>
      </c>
      <c r="N138" s="42">
        <f>LOOKUP(F$73,'Model homes'!$C$351:$C$375,'Model homes'!$E$351:$E$375)*N127</f>
        <v>1.2238826391550568</v>
      </c>
      <c r="O138" s="42">
        <f>LOOKUP(G$73,'Model homes'!$C$351:$C$375,'Model homes'!$E$351:$E$375)*O127</f>
        <v>3.7576280987778539</v>
      </c>
      <c r="P138" s="42">
        <f>LOOKUP(H$73,'Model homes'!$C$351:$C$375,'Model homes'!$E$351:$E$375)*P127</f>
        <v>0.41766751468000435</v>
      </c>
      <c r="R138" s="210" t="s">
        <v>17</v>
      </c>
      <c r="T138" s="207" t="s">
        <v>536</v>
      </c>
      <c r="U138" s="42">
        <f>LOOKUP(E$73,'Model homes'!$C$351:$C$375,'Model homes'!$F$351:$F$375)*U127</f>
        <v>9.9119540122212477</v>
      </c>
      <c r="V138" s="42">
        <f>LOOKUP(F$73,'Model homes'!$C$351:$C$375,'Model homes'!$F$351:$F$375)*V127</f>
        <v>1.5763910290351424</v>
      </c>
      <c r="W138" s="42">
        <f>LOOKUP(G$73,'Model homes'!$C$351:$C$375,'Model homes'!$F$351:$F$375)*W127</f>
        <v>4.8399176815296929</v>
      </c>
      <c r="X138" s="42">
        <f>LOOKUP(H$73,'Model homes'!$C$351:$C$375,'Model homes'!$F$351:$F$375)*X127</f>
        <v>0.53796606161152272</v>
      </c>
      <c r="Z138" s="210" t="s">
        <v>17</v>
      </c>
      <c r="AB138" s="207" t="s">
        <v>536</v>
      </c>
      <c r="AC138" s="42">
        <f>LOOKUP(E$73,'Model homes'!$C$351:$C$375,'Model homes'!$G$351:$G$375)*AC127</f>
        <v>0.70480838401117407</v>
      </c>
      <c r="AD138" s="42">
        <f>LOOKUP(F$73,'Model homes'!$C$351:$C$375,'Model homes'!$G$351:$G$375)*AD127</f>
        <v>0.1120922890051813</v>
      </c>
      <c r="AE138" s="42">
        <f>LOOKUP(G$73,'Model homes'!$C$351:$C$375,'Model homes'!$G$351:$G$375)*AE127</f>
        <v>0.3441515725012535</v>
      </c>
      <c r="AF138" s="42">
        <f>LOOKUP(H$73,'Model homes'!$C$351:$C$375,'Model homes'!$G$351:$G$375)*AF127</f>
        <v>3.8253102271234546E-2</v>
      </c>
      <c r="AH138" s="210" t="s">
        <v>17</v>
      </c>
      <c r="AJ138" s="207" t="s">
        <v>536</v>
      </c>
      <c r="AK138" s="42">
        <f>LOOKUP(E$73,'Model homes'!$C$351:$C$375,'Model homes'!$H$351:$H$375)*AK127</f>
        <v>3.8269452271947127E-2</v>
      </c>
      <c r="AL138" s="42">
        <f>LOOKUP(F$73,'Model homes'!$C$351:$C$375,'Model homes'!$H$351:$H$375)*AL127</f>
        <v>6.0863499944817353E-3</v>
      </c>
      <c r="AM138" s="42">
        <f>LOOKUP(G$73,'Model homes'!$C$351:$C$375,'Model homes'!$H$351:$H$375)*AM127</f>
        <v>1.8686628134581707E-2</v>
      </c>
      <c r="AN138" s="42">
        <f>LOOKUP(H$73,'Model homes'!$C$351:$C$375,'Model homes'!$H$351:$H$375)*AN127</f>
        <v>2.0770542814651217E-3</v>
      </c>
    </row>
    <row r="139" spans="3:40" x14ac:dyDescent="0.3">
      <c r="C139" s="15" t="s">
        <v>18</v>
      </c>
      <c r="D139" s="84" t="s">
        <v>536</v>
      </c>
      <c r="E139" s="42">
        <f>LOOKUP(E$73,'Model homes'!$C$203:$C$227,'Model homes'!$F$203:$F$227)*E128</f>
        <v>134.81971622831497</v>
      </c>
      <c r="F139" s="42">
        <f>LOOKUP(F$73,'Model homes'!$C$203:$C$227,'Model homes'!$F$203:$F$227)*F128</f>
        <v>21.732707237566132</v>
      </c>
      <c r="G139" s="42">
        <f>LOOKUP(G$73,'Model homes'!$C$203:$C$227,'Model homes'!$F$203:$F$227)*G128</f>
        <v>65.831250587694157</v>
      </c>
      <c r="H139" s="42">
        <f>LOOKUP(H$73,'Model homes'!$C$203:$C$227,'Model homes'!$F$203:$F$227)*H128</f>
        <v>7.4165982331843443</v>
      </c>
      <c r="J139" s="210" t="s">
        <v>18</v>
      </c>
      <c r="L139" s="207" t="s">
        <v>536</v>
      </c>
      <c r="M139" s="42">
        <f>LOOKUP(E$73,'Model homes'!$C$351:$C$375,'Model homes'!$E$351:$E$375)*M128</f>
        <v>5.9234860748628932</v>
      </c>
      <c r="N139" s="42">
        <f>LOOKUP(F$73,'Model homes'!$C$351:$C$375,'Model homes'!$E$351:$E$375)*N128</f>
        <v>0.95485580516122082</v>
      </c>
      <c r="O139" s="42">
        <f>LOOKUP(G$73,'Model homes'!$C$351:$C$375,'Model homes'!$E$351:$E$375)*O128</f>
        <v>2.8923847865592687</v>
      </c>
      <c r="P139" s="42">
        <f>LOOKUP(H$73,'Model homes'!$C$351:$C$375,'Model homes'!$E$351:$E$375)*P128</f>
        <v>0.32585824674724789</v>
      </c>
      <c r="R139" s="210" t="s">
        <v>18</v>
      </c>
      <c r="T139" s="207" t="s">
        <v>536</v>
      </c>
      <c r="U139" s="42">
        <f>LOOKUP(E$73,'Model homes'!$C$351:$C$375,'Model homes'!$F$351:$F$375)*U128</f>
        <v>20.13365658732441</v>
      </c>
      <c r="V139" s="42">
        <f>LOOKUP(F$73,'Model homes'!$C$351:$C$375,'Model homes'!$F$351:$F$375)*V128</f>
        <v>3.2455109421311752</v>
      </c>
      <c r="W139" s="42">
        <f>LOOKUP(G$73,'Model homes'!$C$351:$C$375,'Model homes'!$F$351:$F$375)*W128</f>
        <v>9.8310827906071889</v>
      </c>
      <c r="X139" s="42">
        <f>LOOKUP(H$73,'Model homes'!$C$351:$C$375,'Model homes'!$F$351:$F$375)*X128</f>
        <v>1.1075771856707819</v>
      </c>
      <c r="Z139" s="210" t="s">
        <v>18</v>
      </c>
      <c r="AB139" s="207" t="s">
        <v>536</v>
      </c>
      <c r="AC139" s="42">
        <f>LOOKUP(E$73,'Model homes'!$C$351:$C$375,'Model homes'!$G$351:$G$375)*AC128</f>
        <v>0.57265681200907892</v>
      </c>
      <c r="AD139" s="42">
        <f>LOOKUP(F$73,'Model homes'!$C$351:$C$375,'Model homes'!$G$351:$G$375)*AD128</f>
        <v>9.231129682779636E-2</v>
      </c>
      <c r="AE139" s="42">
        <f>LOOKUP(G$73,'Model homes'!$C$351:$C$375,'Model homes'!$G$351:$G$375)*AE128</f>
        <v>0.2796231526572685</v>
      </c>
      <c r="AF139" s="42">
        <f>LOOKUP(H$73,'Model homes'!$C$351:$C$375,'Model homes'!$G$351:$G$375)*AF128</f>
        <v>3.1502554811604924E-2</v>
      </c>
      <c r="AH139" s="210" t="s">
        <v>18</v>
      </c>
      <c r="AJ139" s="207" t="s">
        <v>536</v>
      </c>
      <c r="AK139" s="42">
        <f>LOOKUP(E$73,'Model homes'!$C$351:$C$375,'Model homes'!$H$351:$H$375)*AK128</f>
        <v>3.1093929970957047E-2</v>
      </c>
      <c r="AL139" s="42">
        <f>LOOKUP(F$73,'Model homes'!$C$351:$C$375,'Model homes'!$H$351:$H$375)*AL128</f>
        <v>5.0122882307496643E-3</v>
      </c>
      <c r="AM139" s="42">
        <f>LOOKUP(G$73,'Model homes'!$C$351:$C$375,'Model homes'!$H$351:$H$375)*AM128</f>
        <v>1.5182885359347639E-2</v>
      </c>
      <c r="AN139" s="42">
        <f>LOOKUP(H$73,'Model homes'!$C$351:$C$375,'Model homes'!$H$351:$H$375)*AN128</f>
        <v>1.7105152906183359E-3</v>
      </c>
    </row>
    <row r="140" spans="3:40" x14ac:dyDescent="0.3">
      <c r="C140" s="15" t="s">
        <v>19</v>
      </c>
      <c r="D140" s="84" t="s">
        <v>536</v>
      </c>
      <c r="E140" s="42">
        <f>LOOKUP(E$73,'Model homes'!$C$203:$C$227,'Model homes'!$F$203:$F$227)*E129</f>
        <v>164.31152915325887</v>
      </c>
      <c r="F140" s="42">
        <f>LOOKUP(F$73,'Model homes'!$C$203:$C$227,'Model homes'!$F$203:$F$227)*F129</f>
        <v>26.178751632460656</v>
      </c>
      <c r="G140" s="42">
        <f>LOOKUP(G$73,'Model homes'!$C$203:$C$227,'Model homes'!$F$203:$F$227)*G129</f>
        <v>80.231836653752239</v>
      </c>
      <c r="H140" s="42">
        <f>LOOKUP(H$73,'Model homes'!$C$203:$C$227,'Model homes'!$F$203:$F$227)*H129</f>
        <v>8.9338746885923328</v>
      </c>
      <c r="J140" s="210" t="s">
        <v>19</v>
      </c>
      <c r="L140" s="207" t="s">
        <v>536</v>
      </c>
      <c r="M140" s="42">
        <f>LOOKUP(E$73,'Model homes'!$C$351:$C$375,'Model homes'!$E$351:$E$375)*M129</f>
        <v>5.9234860748628932</v>
      </c>
      <c r="N140" s="42">
        <f>LOOKUP(F$73,'Model homes'!$C$351:$C$375,'Model homes'!$E$351:$E$375)*N129</f>
        <v>0.94375283068260207</v>
      </c>
      <c r="O140" s="42">
        <f>LOOKUP(G$73,'Model homes'!$C$351:$C$375,'Model homes'!$E$351:$E$375)*O129</f>
        <v>2.8923847865592687</v>
      </c>
      <c r="P140" s="42">
        <f>LOOKUP(H$73,'Model homes'!$C$351:$C$375,'Model homes'!$E$351:$E$375)*P129</f>
        <v>0.32206919736646594</v>
      </c>
      <c r="R140" s="210" t="s">
        <v>19</v>
      </c>
      <c r="T140" s="207" t="s">
        <v>536</v>
      </c>
      <c r="U140" s="42">
        <f>LOOKUP(E$73,'Model homes'!$C$351:$C$375,'Model homes'!$F$351:$F$375)*U129</f>
        <v>20.13365658732441</v>
      </c>
      <c r="V140" s="42">
        <f>LOOKUP(F$73,'Model homes'!$C$351:$C$375,'Model homes'!$F$351:$F$375)*V129</f>
        <v>3.2077724428040684</v>
      </c>
      <c r="W140" s="42">
        <f>LOOKUP(G$73,'Model homes'!$C$351:$C$375,'Model homes'!$F$351:$F$375)*W129</f>
        <v>9.8310827906071889</v>
      </c>
      <c r="X140" s="42">
        <f>LOOKUP(H$73,'Model homes'!$C$351:$C$375,'Model homes'!$F$351:$F$375)*X129</f>
        <v>1.0946983811862379</v>
      </c>
      <c r="Z140" s="210" t="s">
        <v>19</v>
      </c>
      <c r="AB140" s="207" t="s">
        <v>536</v>
      </c>
      <c r="AC140" s="42">
        <f>LOOKUP(E$73,'Model homes'!$C$351:$C$375,'Model homes'!$G$351:$G$375)*AC129</f>
        <v>0.57265681200907892</v>
      </c>
      <c r="AD140" s="42">
        <f>LOOKUP(F$73,'Model homes'!$C$351:$C$375,'Model homes'!$G$351:$G$375)*AD129</f>
        <v>9.1237909655380117E-2</v>
      </c>
      <c r="AE140" s="42">
        <f>LOOKUP(G$73,'Model homes'!$C$351:$C$375,'Model homes'!$G$351:$G$375)*AE129</f>
        <v>0.2796231526572685</v>
      </c>
      <c r="AF140" s="42">
        <f>LOOKUP(H$73,'Model homes'!$C$351:$C$375,'Model homes'!$G$351:$G$375)*AF129</f>
        <v>3.1136246034725798E-2</v>
      </c>
      <c r="AH140" s="210" t="s">
        <v>19</v>
      </c>
      <c r="AJ140" s="207" t="s">
        <v>536</v>
      </c>
      <c r="AK140" s="42">
        <f>LOOKUP(E$73,'Model homes'!$C$351:$C$375,'Model homes'!$H$351:$H$375)*AK129</f>
        <v>3.1093929970957047E-2</v>
      </c>
      <c r="AL140" s="42">
        <f>LOOKUP(F$73,'Model homes'!$C$351:$C$375,'Model homes'!$H$351:$H$375)*AL129</f>
        <v>4.9540058094618769E-3</v>
      </c>
      <c r="AM140" s="42">
        <f>LOOKUP(G$73,'Model homes'!$C$351:$C$375,'Model homes'!$H$351:$H$375)*AM129</f>
        <v>1.5182885359347639E-2</v>
      </c>
      <c r="AN140" s="42">
        <f>LOOKUP(H$73,'Model homes'!$C$351:$C$375,'Model homes'!$H$351:$H$375)*AN129</f>
        <v>1.6906255779367272E-3</v>
      </c>
    </row>
    <row r="141" spans="3:40" x14ac:dyDescent="0.3">
      <c r="C141" s="14" t="s">
        <v>20</v>
      </c>
      <c r="D141" s="84" t="s">
        <v>536</v>
      </c>
      <c r="E141" s="42">
        <f>LOOKUP(E$73,'Model homes'!$C$203:$C$227,'Model homes'!$F$203:$F$227)*E130</f>
        <v>110.23494444550461</v>
      </c>
      <c r="F141" s="42">
        <f>LOOKUP(F$73,'Model homes'!$C$203:$C$227,'Model homes'!$F$203:$F$227)*F130</f>
        <v>18.446259770965792</v>
      </c>
      <c r="G141" s="42">
        <f>LOOKUP(G$73,'Model homes'!$C$203:$C$227,'Model homes'!$F$203:$F$227)*G130</f>
        <v>52.589332366031527</v>
      </c>
      <c r="H141" s="42">
        <f>LOOKUP(H$73,'Model homes'!$C$203:$C$227,'Model homes'!$F$203:$F$227)*H130</f>
        <v>6.2950508710540962</v>
      </c>
      <c r="J141" s="213" t="s">
        <v>20</v>
      </c>
      <c r="L141" s="207" t="s">
        <v>536</v>
      </c>
      <c r="M141" s="42">
        <f>LOOKUP(E$73,'Model homes'!$C$351:$C$375,'Model homes'!$E$351:$E$375)*M130</f>
        <v>0</v>
      </c>
      <c r="N141" s="42">
        <f>LOOKUP(F$73,'Model homes'!$C$351:$C$375,'Model homes'!$E$351:$E$375)*N130</f>
        <v>0</v>
      </c>
      <c r="O141" s="42">
        <f>LOOKUP(G$73,'Model homes'!$C$351:$C$375,'Model homes'!$E$351:$E$375)*O130</f>
        <v>0</v>
      </c>
      <c r="P141" s="42">
        <f>LOOKUP(H$73,'Model homes'!$C$351:$C$375,'Model homes'!$E$351:$E$375)*P130</f>
        <v>0</v>
      </c>
      <c r="R141" s="213" t="s">
        <v>20</v>
      </c>
      <c r="T141" s="207" t="s">
        <v>536</v>
      </c>
      <c r="U141" s="42">
        <f>LOOKUP(E$73,'Model homes'!$C$351:$C$375,'Model homes'!$F$351:$F$375)*U130</f>
        <v>3.5191601429945187</v>
      </c>
      <c r="V141" s="42">
        <f>LOOKUP(F$73,'Model homes'!$C$351:$C$375,'Model homes'!$F$351:$F$375)*V130</f>
        <v>0.58888170624876002</v>
      </c>
      <c r="W141" s="42">
        <f>LOOKUP(G$73,'Model homes'!$C$351:$C$375,'Model homes'!$F$351:$F$375)*W130</f>
        <v>1.6788712811545938</v>
      </c>
      <c r="X141" s="42">
        <f>LOOKUP(H$73,'Model homes'!$C$351:$C$375,'Model homes'!$F$351:$F$375)*X130</f>
        <v>0.2009643333606263</v>
      </c>
      <c r="Z141" s="213" t="s">
        <v>20</v>
      </c>
      <c r="AB141" s="207" t="s">
        <v>536</v>
      </c>
      <c r="AC141" s="42">
        <f>LOOKUP(E$73,'Model homes'!$C$351:$C$375,'Model homes'!$G$351:$G$375)*AC130</f>
        <v>0</v>
      </c>
      <c r="AD141" s="42">
        <f>LOOKUP(F$73,'Model homes'!$C$351:$C$375,'Model homes'!$G$351:$G$375)*AD130</f>
        <v>0</v>
      </c>
      <c r="AE141" s="42">
        <f>LOOKUP(G$73,'Model homes'!$C$351:$C$375,'Model homes'!$G$351:$G$375)*AE130</f>
        <v>0</v>
      </c>
      <c r="AF141" s="42">
        <f>LOOKUP(H$73,'Model homes'!$C$351:$C$375,'Model homes'!$G$351:$G$375)*AF130</f>
        <v>0</v>
      </c>
      <c r="AH141" s="213" t="s">
        <v>20</v>
      </c>
      <c r="AJ141" s="207" t="s">
        <v>536</v>
      </c>
      <c r="AK141" s="42">
        <f>LOOKUP(E$73,'Model homes'!$C$351:$C$375,'Model homes'!$H$351:$H$375)*AK130</f>
        <v>0</v>
      </c>
      <c r="AL141" s="42">
        <f>LOOKUP(F$73,'Model homes'!$C$351:$C$375,'Model homes'!$H$351:$H$375)*AL130</f>
        <v>0</v>
      </c>
      <c r="AM141" s="42">
        <f>LOOKUP(G$73,'Model homes'!$C$351:$C$375,'Model homes'!$H$351:$H$375)*AM130</f>
        <v>0</v>
      </c>
      <c r="AN141" s="42">
        <f>LOOKUP(H$73,'Model homes'!$C$351:$C$375,'Model homes'!$H$351:$H$375)*AN130</f>
        <v>0</v>
      </c>
    </row>
    <row r="142" spans="3:40" x14ac:dyDescent="0.3">
      <c r="C142" s="14" t="s">
        <v>21</v>
      </c>
      <c r="D142" s="84" t="s">
        <v>536</v>
      </c>
      <c r="E142" s="42"/>
      <c r="F142" s="42"/>
      <c r="G142" s="42"/>
      <c r="H142" s="42"/>
      <c r="J142" s="213" t="s">
        <v>21</v>
      </c>
      <c r="L142" s="207" t="s">
        <v>536</v>
      </c>
      <c r="M142" s="159">
        <f>LOOKUP(E$73,'Model homes'!$C$351:$C$375,'Model homes'!$E$351:$E$375)*M131</f>
        <v>0</v>
      </c>
      <c r="N142" s="159">
        <f>LOOKUP(F$73,'Model homes'!$C$351:$C$375,'Model homes'!$E$351:$E$375)*N131</f>
        <v>0</v>
      </c>
      <c r="O142" s="159">
        <f>LOOKUP(G$73,'Model homes'!$C$351:$C$375,'Model homes'!$E$351:$E$375)*O131</f>
        <v>0</v>
      </c>
      <c r="P142" s="159">
        <f>LOOKUP(H$73,'Model homes'!$C$351:$C$375,'Model homes'!$E$351:$E$375)*P131</f>
        <v>0</v>
      </c>
      <c r="R142" s="213" t="s">
        <v>21</v>
      </c>
      <c r="T142" s="207" t="s">
        <v>536</v>
      </c>
      <c r="U142" s="159">
        <f>LOOKUP(E$73,'Model homes'!$C$351:$C$375,'Model homes'!$F$351:$F$375)*U131</f>
        <v>0</v>
      </c>
      <c r="V142" s="159">
        <f>LOOKUP(F$73,'Model homes'!$C$351:$C$375,'Model homes'!$F$351:$F$375)*V131</f>
        <v>0</v>
      </c>
      <c r="W142" s="159">
        <f>LOOKUP(G$73,'Model homes'!$C$351:$C$375,'Model homes'!$F$351:$F$375)*W131</f>
        <v>0</v>
      </c>
      <c r="X142" s="159">
        <f>LOOKUP(H$73,'Model homes'!$C$351:$C$375,'Model homes'!$F$351:$F$375)*X131</f>
        <v>0</v>
      </c>
      <c r="Z142" s="213" t="s">
        <v>21</v>
      </c>
      <c r="AB142" s="207" t="s">
        <v>536</v>
      </c>
      <c r="AC142" s="159">
        <f>LOOKUP(E$73,'Model homes'!$C$351:$C$375,'Model homes'!$G$351:$G$375)*AC131</f>
        <v>0</v>
      </c>
      <c r="AD142" s="159">
        <f>LOOKUP(F$73,'Model homes'!$C$351:$C$375,'Model homes'!$G$351:$G$375)*AD131</f>
        <v>0</v>
      </c>
      <c r="AE142" s="159">
        <f>LOOKUP(G$73,'Model homes'!$C$351:$C$375,'Model homes'!$G$351:$G$375)*AE131</f>
        <v>0</v>
      </c>
      <c r="AF142" s="159">
        <f>LOOKUP(H$73,'Model homes'!$C$351:$C$375,'Model homes'!$G$351:$G$375)*AF131</f>
        <v>0</v>
      </c>
      <c r="AH142" s="213" t="s">
        <v>21</v>
      </c>
      <c r="AJ142" s="207" t="s">
        <v>536</v>
      </c>
      <c r="AK142" s="159">
        <f>LOOKUP(E$73,'Model homes'!$C$351:$C$375,'Model homes'!$H$351:$H$375)*AK131</f>
        <v>0</v>
      </c>
      <c r="AL142" s="159">
        <f>LOOKUP(F$73,'Model homes'!$C$351:$C$375,'Model homes'!$H$351:$H$375)*AL131</f>
        <v>0</v>
      </c>
      <c r="AM142" s="159">
        <f>LOOKUP(G$73,'Model homes'!$C$351:$C$375,'Model homes'!$H$351:$H$375)*AM131</f>
        <v>0</v>
      </c>
      <c r="AN142" s="159">
        <f>LOOKUP(H$73,'Model homes'!$C$351:$C$375,'Model homes'!$H$351:$H$375)*AN131</f>
        <v>0</v>
      </c>
    </row>
    <row r="143" spans="3:40" x14ac:dyDescent="0.3">
      <c r="C143" s="14" t="s">
        <v>22</v>
      </c>
      <c r="D143" s="84" t="s">
        <v>536</v>
      </c>
      <c r="E143" s="42" t="e">
        <f>LOOKUP(E$73,'Model homes'!$C$203:$C$227,'Model homes'!$F$203:$F$227)*E132</f>
        <v>#N/A</v>
      </c>
      <c r="F143" s="42" t="e">
        <f>LOOKUP(F$73,'Model homes'!$C$203:$C$227,'Model homes'!$F$203:$F$227)*F132</f>
        <v>#N/A</v>
      </c>
      <c r="G143" s="42" t="e">
        <f>LOOKUP(G$73,'Model homes'!$C$203:$C$227,'Model homes'!$F$203:$F$227)*G132</f>
        <v>#N/A</v>
      </c>
      <c r="H143" s="42" t="e">
        <f>LOOKUP(H$73,'Model homes'!$C$203:$C$227,'Model homes'!$F$203:$F$227)*H132</f>
        <v>#N/A</v>
      </c>
      <c r="J143" s="213" t="s">
        <v>22</v>
      </c>
      <c r="L143" s="207" t="s">
        <v>536</v>
      </c>
      <c r="M143" s="159" t="e">
        <f>LOOKUP(E$73,'Model homes'!$C$351:$C$375,'Model homes'!$E$351:$E$375)*M132</f>
        <v>#DIV/0!</v>
      </c>
      <c r="N143" s="159" t="e">
        <f>LOOKUP(F$73,'Model homes'!$C$351:$C$375,'Model homes'!$E$351:$E$375)*N132</f>
        <v>#DIV/0!</v>
      </c>
      <c r="O143" s="159" t="e">
        <f>LOOKUP(G$73,'Model homes'!$C$351:$C$375,'Model homes'!$E$351:$E$375)*O132</f>
        <v>#DIV/0!</v>
      </c>
      <c r="P143" s="159" t="e">
        <f>LOOKUP(H$73,'Model homes'!$C$351:$C$375,'Model homes'!$E$351:$E$375)*P132</f>
        <v>#DIV/0!</v>
      </c>
      <c r="R143" s="213" t="s">
        <v>22</v>
      </c>
      <c r="T143" s="207" t="s">
        <v>536</v>
      </c>
      <c r="U143" s="159" t="e">
        <f>LOOKUP(E$73,'Model homes'!$C$351:$C$375,'Model homes'!$F$351:$F$375)*U132</f>
        <v>#DIV/0!</v>
      </c>
      <c r="V143" s="159" t="e">
        <f>LOOKUP(F$73,'Model homes'!$C$351:$C$375,'Model homes'!$F$351:$F$375)*V132</f>
        <v>#DIV/0!</v>
      </c>
      <c r="W143" s="159" t="e">
        <f>LOOKUP(G$73,'Model homes'!$C$351:$C$375,'Model homes'!$F$351:$F$375)*W132</f>
        <v>#DIV/0!</v>
      </c>
      <c r="X143" s="159" t="e">
        <f>LOOKUP(H$73,'Model homes'!$C$351:$C$375,'Model homes'!$F$351:$F$375)*X132</f>
        <v>#DIV/0!</v>
      </c>
      <c r="Z143" s="213" t="s">
        <v>22</v>
      </c>
      <c r="AB143" s="207" t="s">
        <v>536</v>
      </c>
      <c r="AC143" s="159" t="e">
        <f>LOOKUP(E$73,'Model homes'!$C$351:$C$375,'Model homes'!$G$351:$G$375)*AC132</f>
        <v>#DIV/0!</v>
      </c>
      <c r="AD143" s="159" t="e">
        <f>LOOKUP(F$73,'Model homes'!$C$351:$C$375,'Model homes'!$G$351:$G$375)*AD132</f>
        <v>#DIV/0!</v>
      </c>
      <c r="AE143" s="159" t="e">
        <f>LOOKUP(G$73,'Model homes'!$C$351:$C$375,'Model homes'!$G$351:$G$375)*AE132</f>
        <v>#DIV/0!</v>
      </c>
      <c r="AF143" s="159" t="e">
        <f>LOOKUP(H$73,'Model homes'!$C$351:$C$375,'Model homes'!$G$351:$G$375)*AF132</f>
        <v>#DIV/0!</v>
      </c>
      <c r="AH143" s="213" t="s">
        <v>22</v>
      </c>
      <c r="AJ143" s="207" t="s">
        <v>536</v>
      </c>
      <c r="AK143" s="159" t="e">
        <f>LOOKUP(E$73,'Model homes'!$C$351:$C$375,'Model homes'!$H$351:$H$375)*AK132</f>
        <v>#DIV/0!</v>
      </c>
      <c r="AL143" s="159" t="e">
        <f>LOOKUP(F$73,'Model homes'!$C$351:$C$375,'Model homes'!$H$351:$H$375)*AL132</f>
        <v>#DIV/0!</v>
      </c>
      <c r="AM143" s="159" t="e">
        <f>LOOKUP(G$73,'Model homes'!$C$351:$C$375,'Model homes'!$H$351:$H$375)*AM132</f>
        <v>#DIV/0!</v>
      </c>
      <c r="AN143" s="159" t="e">
        <f>LOOKUP(H$73,'Model homes'!$C$351:$C$375,'Model homes'!$H$351:$H$375)*AN132</f>
        <v>#DIV/0!</v>
      </c>
    </row>
    <row r="145" spans="2:19" x14ac:dyDescent="0.3">
      <c r="C145" s="15" t="s">
        <v>303</v>
      </c>
      <c r="D145" s="17" t="s">
        <v>301</v>
      </c>
      <c r="E145" s="94">
        <f>'Model homes'!E$170</f>
        <v>0.03</v>
      </c>
    </row>
    <row r="147" spans="2:19" x14ac:dyDescent="0.3">
      <c r="C147" s="51" t="s">
        <v>537</v>
      </c>
      <c r="E147" s="209"/>
      <c r="J147" s="51" t="s">
        <v>538</v>
      </c>
    </row>
    <row r="148" spans="2:19" x14ac:dyDescent="0.3">
      <c r="C148" s="209" t="s">
        <v>14</v>
      </c>
      <c r="D148" s="207" t="s">
        <v>536</v>
      </c>
      <c r="E148" s="159" t="e">
        <f t="shared" ref="E148:E156" si="18">M135+U135+AC135+AK135</f>
        <v>#DIV/0!</v>
      </c>
      <c r="F148" s="159" t="e">
        <f t="shared" ref="F148:F156" si="19">N135+V135+AD135+AL135</f>
        <v>#DIV/0!</v>
      </c>
      <c r="G148" s="159" t="e">
        <f t="shared" ref="G148:G156" si="20">O135+W135+AE135+AM135</f>
        <v>#DIV/0!</v>
      </c>
      <c r="H148" s="159" t="e">
        <f t="shared" ref="H148:H156" si="21">P135+X135+AF135+AN135</f>
        <v>#DIV/0!</v>
      </c>
      <c r="J148" s="63">
        <f>(1-(((1+'Model homes'!$E159)/(1+E$145))^E$73))/(E$145-'Model homes'!$E159)</f>
        <v>22.909194708310952</v>
      </c>
    </row>
    <row r="149" spans="2:19" x14ac:dyDescent="0.3">
      <c r="C149" s="213" t="s">
        <v>15</v>
      </c>
      <c r="D149" s="207" t="s">
        <v>536</v>
      </c>
      <c r="E149" s="42">
        <f t="shared" si="18"/>
        <v>16.755926603068431</v>
      </c>
      <c r="F149" s="42">
        <f t="shared" si="19"/>
        <v>2.6648521923810931</v>
      </c>
      <c r="G149" s="42">
        <f t="shared" si="20"/>
        <v>7.9375358533683915</v>
      </c>
      <c r="H149" s="42">
        <f t="shared" si="21"/>
        <v>0.90941905422384217</v>
      </c>
      <c r="J149" s="63">
        <f>(1-(((1+'Model homes'!$E160)/(1+E$145))^E$73))/(E$145-'Model homes'!$E160)</f>
        <v>21.643744007958169</v>
      </c>
    </row>
    <row r="150" spans="2:19" x14ac:dyDescent="0.3">
      <c r="C150" s="210" t="s">
        <v>16</v>
      </c>
      <c r="D150" s="207" t="s">
        <v>536</v>
      </c>
      <c r="E150" s="42">
        <f t="shared" si="18"/>
        <v>13.614190364993101</v>
      </c>
      <c r="F150" s="42">
        <f t="shared" si="19"/>
        <v>2.220710160317577</v>
      </c>
      <c r="G150" s="42">
        <f t="shared" si="20"/>
        <v>6.4855475875083206</v>
      </c>
      <c r="H150" s="42">
        <f t="shared" si="21"/>
        <v>0.75784921185320175</v>
      </c>
      <c r="J150" s="63">
        <f>(1-(((1+'Model homes'!$E161)/(1+E$145))^E$73))/(E$145-'Model homes'!$E161)</f>
        <v>22.909194708310952</v>
      </c>
    </row>
    <row r="151" spans="2:19" x14ac:dyDescent="0.3">
      <c r="C151" s="210" t="s">
        <v>17</v>
      </c>
      <c r="D151" s="207" t="s">
        <v>536</v>
      </c>
      <c r="E151" s="42">
        <f t="shared" si="18"/>
        <v>18.350500937215138</v>
      </c>
      <c r="F151" s="42">
        <f t="shared" si="19"/>
        <v>2.9184523071898618</v>
      </c>
      <c r="G151" s="42">
        <f t="shared" si="20"/>
        <v>8.9603839809433818</v>
      </c>
      <c r="H151" s="42">
        <f t="shared" si="21"/>
        <v>0.99596373284422679</v>
      </c>
      <c r="J151" s="63">
        <f>(1-(((1+'Model homes'!$E162)/(1+E$145))^E$73))/(E$145-'Model homes'!$E162)</f>
        <v>22.909194708310952</v>
      </c>
    </row>
    <row r="152" spans="2:19" x14ac:dyDescent="0.3">
      <c r="C152" s="210" t="s">
        <v>18</v>
      </c>
      <c r="D152" s="207" t="s">
        <v>536</v>
      </c>
      <c r="E152" s="42">
        <f t="shared" si="18"/>
        <v>26.660893404167339</v>
      </c>
      <c r="F152" s="42">
        <f t="shared" si="19"/>
        <v>4.2976903323509417</v>
      </c>
      <c r="G152" s="42">
        <f t="shared" si="20"/>
        <v>13.018273615183075</v>
      </c>
      <c r="H152" s="42">
        <f t="shared" si="21"/>
        <v>1.4666485025202531</v>
      </c>
      <c r="J152" s="63">
        <f>(1-(((1+'Model homes'!$E163)/(1+E$145))^E$73))/(E$145-'Model homes'!$E163)</f>
        <v>22.909194708310952</v>
      </c>
    </row>
    <row r="153" spans="2:19" x14ac:dyDescent="0.3">
      <c r="C153" s="210" t="s">
        <v>19</v>
      </c>
      <c r="D153" s="207" t="s">
        <v>536</v>
      </c>
      <c r="E153" s="42">
        <f t="shared" si="18"/>
        <v>26.660893404167339</v>
      </c>
      <c r="F153" s="42">
        <f t="shared" si="19"/>
        <v>4.247717188951512</v>
      </c>
      <c r="G153" s="42">
        <f t="shared" si="20"/>
        <v>13.018273615183075</v>
      </c>
      <c r="H153" s="42">
        <f t="shared" si="21"/>
        <v>1.4495944501653664</v>
      </c>
      <c r="J153" s="63">
        <f>(1-(((1+'Model homes'!$E164)/(1+E$145))^E$73))/(E$145-'Model homes'!$E164)</f>
        <v>22.909194708310952</v>
      </c>
    </row>
    <row r="154" spans="2:19" x14ac:dyDescent="0.3">
      <c r="C154" s="213" t="s">
        <v>20</v>
      </c>
      <c r="D154" s="207" t="s">
        <v>536</v>
      </c>
      <c r="E154" s="42">
        <f t="shared" si="18"/>
        <v>3.5191601429945187</v>
      </c>
      <c r="F154" s="42">
        <f t="shared" si="19"/>
        <v>0.58888170624876002</v>
      </c>
      <c r="G154" s="42">
        <f t="shared" si="20"/>
        <v>1.6788712811545938</v>
      </c>
      <c r="H154" s="42">
        <f t="shared" si="21"/>
        <v>0.2009643333606263</v>
      </c>
      <c r="J154" s="63">
        <f>(1-(((1+'Model homes'!$E165)/(1+E$145))^E$73))/(E$145-'Model homes'!$E165)</f>
        <v>23.991159519596025</v>
      </c>
    </row>
    <row r="155" spans="2:19" x14ac:dyDescent="0.3">
      <c r="C155" s="213" t="s">
        <v>21</v>
      </c>
      <c r="D155" s="207" t="s">
        <v>536</v>
      </c>
      <c r="E155" s="159">
        <f t="shared" si="18"/>
        <v>0</v>
      </c>
      <c r="F155" s="159">
        <f t="shared" si="19"/>
        <v>0</v>
      </c>
      <c r="G155" s="159">
        <f t="shared" si="20"/>
        <v>0</v>
      </c>
      <c r="H155" s="159">
        <f t="shared" si="21"/>
        <v>0</v>
      </c>
      <c r="J155" s="63">
        <f>(1-(((1+'Model homes'!$E166)/(1+E$145))^E$73))/(E$145-'Model homes'!$E166)</f>
        <v>22.909194708310952</v>
      </c>
    </row>
    <row r="156" spans="2:19" x14ac:dyDescent="0.3">
      <c r="C156" s="213" t="s">
        <v>22</v>
      </c>
      <c r="D156" s="207" t="s">
        <v>536</v>
      </c>
      <c r="E156" s="159" t="e">
        <f t="shared" si="18"/>
        <v>#DIV/0!</v>
      </c>
      <c r="F156" s="159" t="e">
        <f t="shared" si="19"/>
        <v>#DIV/0!</v>
      </c>
      <c r="G156" s="159" t="e">
        <f t="shared" si="20"/>
        <v>#DIV/0!</v>
      </c>
      <c r="H156" s="159" t="e">
        <f t="shared" si="21"/>
        <v>#DIV/0!</v>
      </c>
      <c r="J156" s="63">
        <f>(1-(((1+'Model homes'!$E167)/(1+E$145))^E$73))/(E$145-'Model homes'!$E167)</f>
        <v>22.909194708310952</v>
      </c>
    </row>
    <row r="157" spans="2:19" x14ac:dyDescent="0.3">
      <c r="C157" s="36"/>
      <c r="D157" s="96"/>
      <c r="E157" s="55"/>
      <c r="F157" s="55"/>
      <c r="G157" s="55"/>
      <c r="H157" s="55"/>
      <c r="R157" s="42"/>
      <c r="S157" s="99"/>
    </row>
    <row r="158" spans="2:19" ht="20.25" x14ac:dyDescent="0.35">
      <c r="C158" s="81" t="s">
        <v>665</v>
      </c>
    </row>
    <row r="159" spans="2:19" s="18" customFormat="1" ht="17.25" thickBot="1" x14ac:dyDescent="0.35">
      <c r="B159" s="19" t="s">
        <v>153</v>
      </c>
      <c r="C159" s="19" t="s">
        <v>154</v>
      </c>
      <c r="D159" s="19" t="s">
        <v>32</v>
      </c>
      <c r="E159" s="19" t="s">
        <v>155</v>
      </c>
      <c r="F159" s="19"/>
      <c r="G159" s="19" t="s">
        <v>155</v>
      </c>
      <c r="H159" s="19"/>
      <c r="I159" s="19"/>
      <c r="J159" s="56" t="s">
        <v>156</v>
      </c>
      <c r="K159" s="56"/>
    </row>
    <row r="160" spans="2:19" s="30" customFormat="1" ht="18" thickTop="1" thickBot="1" x14ac:dyDescent="0.35">
      <c r="B160" s="28"/>
      <c r="C160" s="29" t="s">
        <v>157</v>
      </c>
      <c r="D160" s="29"/>
      <c r="E160" s="335" t="s">
        <v>5</v>
      </c>
      <c r="F160" s="335"/>
      <c r="G160" s="335" t="s">
        <v>6</v>
      </c>
      <c r="H160" s="335"/>
      <c r="I160" s="28"/>
      <c r="J160" s="28"/>
      <c r="K160" s="57"/>
      <c r="M160" s="20"/>
    </row>
    <row r="161" spans="2:14" ht="18" thickTop="1" thickBot="1" x14ac:dyDescent="0.35">
      <c r="B161" s="19"/>
      <c r="C161" s="29" t="s">
        <v>158</v>
      </c>
      <c r="D161" s="29"/>
      <c r="E161" s="29" t="s">
        <v>7</v>
      </c>
      <c r="F161" s="29" t="s">
        <v>8</v>
      </c>
      <c r="G161" s="29" t="s">
        <v>7</v>
      </c>
      <c r="H161" s="29" t="s">
        <v>8</v>
      </c>
      <c r="I161" s="19"/>
      <c r="J161" s="19"/>
      <c r="K161" s="56"/>
      <c r="M161" s="82"/>
      <c r="N161" s="82"/>
    </row>
    <row r="162" spans="2:14" ht="17.25" thickTop="1" x14ac:dyDescent="0.3">
      <c r="C162" s="20" t="s">
        <v>14</v>
      </c>
      <c r="D162" s="20" t="s">
        <v>540</v>
      </c>
      <c r="E162" s="38">
        <f>'Campaign Input'!$G$12*'Data Input'!B$9*'Data Input'!B16</f>
        <v>0</v>
      </c>
      <c r="F162" s="38">
        <f>'Campaign Input'!$G$12*'Data Input'!C$9*'Data Input'!C16</f>
        <v>0</v>
      </c>
      <c r="G162" s="38">
        <f>'Campaign Input'!$G$12*'Data Input'!D$9*'Data Input'!D16</f>
        <v>0</v>
      </c>
      <c r="H162" s="38">
        <f>'Campaign Input'!$G$12*'Data Input'!E$9*'Data Input'!E16</f>
        <v>0</v>
      </c>
    </row>
    <row r="163" spans="2:14" x14ac:dyDescent="0.3">
      <c r="C163" s="14" t="s">
        <v>15</v>
      </c>
      <c r="D163" s="20" t="s">
        <v>540</v>
      </c>
      <c r="E163" s="38">
        <f>'Campaign Input'!$G$12*'Data Input'!B$9*'Data Input'!B17</f>
        <v>0</v>
      </c>
      <c r="F163" s="38">
        <f>'Campaign Input'!$G$12*'Data Input'!C$9*'Data Input'!C17</f>
        <v>0</v>
      </c>
      <c r="G163" s="38">
        <f>'Campaign Input'!$G$12*'Data Input'!D$9*'Data Input'!D17</f>
        <v>0</v>
      </c>
      <c r="H163" s="38">
        <f>'Campaign Input'!$G$12*'Data Input'!E$9*'Data Input'!E17</f>
        <v>0</v>
      </c>
    </row>
    <row r="164" spans="2:14" x14ac:dyDescent="0.3">
      <c r="C164" s="15" t="s">
        <v>16</v>
      </c>
      <c r="D164" s="20" t="s">
        <v>540</v>
      </c>
      <c r="E164" s="38">
        <f>'Campaign Input'!$G$12*'Data Input'!B$9*'Data Input'!B18</f>
        <v>0</v>
      </c>
      <c r="F164" s="38">
        <f>'Campaign Input'!$G$12*'Data Input'!C$9*'Data Input'!C18</f>
        <v>0</v>
      </c>
      <c r="G164" s="38">
        <f>'Campaign Input'!$G$12*'Data Input'!D$9*'Data Input'!D18</f>
        <v>0</v>
      </c>
      <c r="H164" s="38">
        <f>'Campaign Input'!$G$12*'Data Input'!E$9*'Data Input'!E18</f>
        <v>0</v>
      </c>
    </row>
    <row r="165" spans="2:14" x14ac:dyDescent="0.3">
      <c r="C165" s="15" t="s">
        <v>17</v>
      </c>
      <c r="D165" s="20" t="s">
        <v>540</v>
      </c>
      <c r="E165" s="38">
        <f>'Campaign Input'!$G$12*'Data Input'!B$9*'Data Input'!B19</f>
        <v>0</v>
      </c>
      <c r="F165" s="38">
        <f>'Campaign Input'!$G$12*'Data Input'!C$9*'Data Input'!C19</f>
        <v>0</v>
      </c>
      <c r="G165" s="38">
        <f>'Campaign Input'!$G$12*'Data Input'!D$9*'Data Input'!D19</f>
        <v>0</v>
      </c>
      <c r="H165" s="38">
        <f>'Campaign Input'!$G$12*'Data Input'!E$9*'Data Input'!E19</f>
        <v>0</v>
      </c>
    </row>
    <row r="166" spans="2:14" x14ac:dyDescent="0.3">
      <c r="C166" s="15" t="s">
        <v>18</v>
      </c>
      <c r="D166" s="20" t="s">
        <v>540</v>
      </c>
      <c r="E166" s="38">
        <f>'Campaign Input'!$G$12*'Data Input'!B$9*'Data Input'!B20</f>
        <v>0</v>
      </c>
      <c r="F166" s="38">
        <f>'Campaign Input'!$G$12*'Data Input'!C$9*'Data Input'!C20</f>
        <v>0</v>
      </c>
      <c r="G166" s="38">
        <f>'Campaign Input'!$G$12*'Data Input'!D$9*'Data Input'!D20</f>
        <v>0</v>
      </c>
      <c r="H166" s="38">
        <f>'Campaign Input'!$G$12*'Data Input'!E$9*'Data Input'!E20</f>
        <v>0</v>
      </c>
    </row>
    <row r="167" spans="2:14" x14ac:dyDescent="0.3">
      <c r="C167" s="15" t="s">
        <v>19</v>
      </c>
      <c r="D167" s="20" t="s">
        <v>540</v>
      </c>
      <c r="E167" s="38">
        <f>'Campaign Input'!$G$12*'Data Input'!B$9*'Data Input'!B21</f>
        <v>0</v>
      </c>
      <c r="F167" s="38">
        <f>'Campaign Input'!$G$12*'Data Input'!C$9*'Data Input'!C21</f>
        <v>0</v>
      </c>
      <c r="G167" s="38">
        <f>'Campaign Input'!$G$12*'Data Input'!D$9*'Data Input'!D21</f>
        <v>0</v>
      </c>
      <c r="H167" s="38">
        <f>'Campaign Input'!$G$12*'Data Input'!E$9*'Data Input'!E21</f>
        <v>0</v>
      </c>
    </row>
    <row r="168" spans="2:14" x14ac:dyDescent="0.3">
      <c r="C168" s="14" t="s">
        <v>20</v>
      </c>
      <c r="D168" s="20" t="s">
        <v>540</v>
      </c>
      <c r="E168" s="38">
        <f>'Campaign Input'!$G$12*'Data Input'!B$9*'Data Input'!B22</f>
        <v>0</v>
      </c>
      <c r="F168" s="38">
        <f>'Campaign Input'!$G$12*'Data Input'!C$9*'Data Input'!C22</f>
        <v>0</v>
      </c>
      <c r="G168" s="38">
        <f>'Campaign Input'!$G$12*'Data Input'!D$9*'Data Input'!D22</f>
        <v>0</v>
      </c>
      <c r="H168" s="38">
        <f>'Campaign Input'!$G$12*'Data Input'!E$9*'Data Input'!E22</f>
        <v>0</v>
      </c>
    </row>
    <row r="169" spans="2:14" x14ac:dyDescent="0.3">
      <c r="C169" s="14" t="s">
        <v>21</v>
      </c>
      <c r="D169" s="20" t="s">
        <v>540</v>
      </c>
      <c r="E169" s="17">
        <v>0</v>
      </c>
      <c r="F169" s="17">
        <v>0</v>
      </c>
      <c r="G169" s="17">
        <v>0</v>
      </c>
      <c r="H169" s="17">
        <v>0</v>
      </c>
    </row>
    <row r="170" spans="2:14" x14ac:dyDescent="0.3">
      <c r="C170" s="14" t="s">
        <v>22</v>
      </c>
      <c r="D170" s="20" t="s">
        <v>540</v>
      </c>
      <c r="E170" s="38">
        <f>'Campaign Input'!$G$12*'Data Input'!B$9*'Data Input'!B24</f>
        <v>0</v>
      </c>
      <c r="F170" s="38">
        <f>'Campaign Input'!$G$12*'Data Input'!C$9*'Data Input'!C24</f>
        <v>0</v>
      </c>
      <c r="G170" s="38">
        <f>'Campaign Input'!$G$12*'Data Input'!D$9*'Data Input'!D24</f>
        <v>0</v>
      </c>
      <c r="H170" s="38">
        <f>'Campaign Input'!$G$12*'Data Input'!E$9*'Data Input'!E24</f>
        <v>0</v>
      </c>
    </row>
    <row r="172" spans="2:14" x14ac:dyDescent="0.3">
      <c r="C172" s="51" t="s">
        <v>603</v>
      </c>
      <c r="D172" s="207"/>
      <c r="E172" s="208"/>
    </row>
    <row r="173" spans="2:14" x14ac:dyDescent="0.3">
      <c r="C173" s="209" t="s">
        <v>14</v>
      </c>
      <c r="D173" s="210" t="s">
        <v>69</v>
      </c>
      <c r="E173" s="42">
        <f t="shared" ref="E173:H181" si="22">E$66*E162</f>
        <v>0</v>
      </c>
      <c r="F173" s="42">
        <f t="shared" si="22"/>
        <v>0</v>
      </c>
      <c r="G173" s="42">
        <f t="shared" si="22"/>
        <v>0</v>
      </c>
      <c r="H173" s="42">
        <f t="shared" si="22"/>
        <v>0</v>
      </c>
    </row>
    <row r="174" spans="2:14" x14ac:dyDescent="0.3">
      <c r="C174" s="213" t="s">
        <v>15</v>
      </c>
      <c r="D174" s="210" t="s">
        <v>69</v>
      </c>
      <c r="E174" s="42">
        <f t="shared" si="22"/>
        <v>0</v>
      </c>
      <c r="F174" s="42">
        <f t="shared" si="22"/>
        <v>0</v>
      </c>
      <c r="G174" s="42">
        <f t="shared" si="22"/>
        <v>0</v>
      </c>
      <c r="H174" s="42">
        <f t="shared" si="22"/>
        <v>0</v>
      </c>
    </row>
    <row r="175" spans="2:14" x14ac:dyDescent="0.3">
      <c r="C175" s="210" t="s">
        <v>16</v>
      </c>
      <c r="D175" s="210" t="s">
        <v>69</v>
      </c>
      <c r="E175" s="42">
        <f t="shared" si="22"/>
        <v>0</v>
      </c>
      <c r="F175" s="42">
        <f t="shared" si="22"/>
        <v>0</v>
      </c>
      <c r="G175" s="42">
        <f t="shared" si="22"/>
        <v>0</v>
      </c>
      <c r="H175" s="42">
        <f t="shared" si="22"/>
        <v>0</v>
      </c>
    </row>
    <row r="176" spans="2:14" x14ac:dyDescent="0.3">
      <c r="C176" s="210" t="s">
        <v>17</v>
      </c>
      <c r="D176" s="210" t="s">
        <v>69</v>
      </c>
      <c r="E176" s="42">
        <f t="shared" si="22"/>
        <v>0</v>
      </c>
      <c r="F176" s="42">
        <f t="shared" si="22"/>
        <v>0</v>
      </c>
      <c r="G176" s="42">
        <f t="shared" si="22"/>
        <v>0</v>
      </c>
      <c r="H176" s="42">
        <f t="shared" si="22"/>
        <v>0</v>
      </c>
    </row>
    <row r="177" spans="3:10" x14ac:dyDescent="0.3">
      <c r="C177" s="210" t="s">
        <v>18</v>
      </c>
      <c r="D177" s="210" t="s">
        <v>69</v>
      </c>
      <c r="E177" s="42">
        <f t="shared" si="22"/>
        <v>0</v>
      </c>
      <c r="F177" s="42">
        <f t="shared" si="22"/>
        <v>0</v>
      </c>
      <c r="G177" s="42">
        <f t="shared" si="22"/>
        <v>0</v>
      </c>
      <c r="H177" s="42">
        <f t="shared" si="22"/>
        <v>0</v>
      </c>
    </row>
    <row r="178" spans="3:10" x14ac:dyDescent="0.3">
      <c r="C178" s="210" t="s">
        <v>19</v>
      </c>
      <c r="D178" s="210" t="s">
        <v>69</v>
      </c>
      <c r="E178" s="42">
        <f t="shared" si="22"/>
        <v>0</v>
      </c>
      <c r="F178" s="42">
        <f t="shared" si="22"/>
        <v>0</v>
      </c>
      <c r="G178" s="42">
        <f t="shared" si="22"/>
        <v>0</v>
      </c>
      <c r="H178" s="42">
        <f t="shared" si="22"/>
        <v>0</v>
      </c>
    </row>
    <row r="179" spans="3:10" x14ac:dyDescent="0.3">
      <c r="C179" s="213" t="s">
        <v>20</v>
      </c>
      <c r="D179" s="210" t="s">
        <v>69</v>
      </c>
      <c r="E179" s="42">
        <f t="shared" si="22"/>
        <v>0</v>
      </c>
      <c r="F179" s="42">
        <f t="shared" si="22"/>
        <v>0</v>
      </c>
      <c r="G179" s="42">
        <f t="shared" si="22"/>
        <v>0</v>
      </c>
      <c r="H179" s="42">
        <f t="shared" si="22"/>
        <v>0</v>
      </c>
    </row>
    <row r="180" spans="3:10" x14ac:dyDescent="0.3">
      <c r="C180" s="213" t="s">
        <v>21</v>
      </c>
      <c r="D180" s="210" t="s">
        <v>69</v>
      </c>
      <c r="E180" s="42">
        <f t="shared" si="22"/>
        <v>0</v>
      </c>
      <c r="F180" s="42">
        <f t="shared" si="22"/>
        <v>0</v>
      </c>
      <c r="G180" s="42">
        <f t="shared" si="22"/>
        <v>0</v>
      </c>
      <c r="H180" s="42">
        <f t="shared" si="22"/>
        <v>0</v>
      </c>
    </row>
    <row r="181" spans="3:10" x14ac:dyDescent="0.3">
      <c r="C181" s="213" t="s">
        <v>22</v>
      </c>
      <c r="D181" s="210" t="s">
        <v>69</v>
      </c>
      <c r="E181" s="42">
        <f t="shared" si="22"/>
        <v>0</v>
      </c>
      <c r="F181" s="42">
        <f t="shared" si="22"/>
        <v>0</v>
      </c>
      <c r="G181" s="42">
        <f t="shared" si="22"/>
        <v>0</v>
      </c>
      <c r="H181" s="42">
        <f t="shared" si="22"/>
        <v>0</v>
      </c>
    </row>
    <row r="182" spans="3:10" x14ac:dyDescent="0.3">
      <c r="C182" s="216" t="s">
        <v>54</v>
      </c>
      <c r="D182" s="210" t="s">
        <v>69</v>
      </c>
      <c r="E182" s="45">
        <f>SUM(E173:E181)</f>
        <v>0</v>
      </c>
      <c r="F182" s="45">
        <f>SUM(F173:F181)</f>
        <v>0</v>
      </c>
      <c r="G182" s="45">
        <f>SUM(G173:G181)</f>
        <v>0</v>
      </c>
      <c r="H182" s="45">
        <f>SUM(H173:H181)</f>
        <v>0</v>
      </c>
      <c r="J182" s="45">
        <f>SUM(E182:H182)</f>
        <v>0</v>
      </c>
    </row>
    <row r="183" spans="3:10" x14ac:dyDescent="0.3">
      <c r="C183" s="209"/>
      <c r="D183" s="210"/>
      <c r="E183" s="42"/>
    </row>
    <row r="184" spans="3:10" x14ac:dyDescent="0.3">
      <c r="C184" s="51" t="s">
        <v>541</v>
      </c>
      <c r="D184" s="207"/>
      <c r="E184" s="208"/>
    </row>
    <row r="185" spans="3:10" x14ac:dyDescent="0.3">
      <c r="C185" s="209" t="s">
        <v>14</v>
      </c>
      <c r="D185" s="210" t="s">
        <v>542</v>
      </c>
      <c r="E185" s="42">
        <f t="shared" ref="E185:H193" si="23">E162*E31*E$73</f>
        <v>0</v>
      </c>
      <c r="F185" s="42">
        <f t="shared" si="23"/>
        <v>0</v>
      </c>
      <c r="G185" s="42">
        <f t="shared" si="23"/>
        <v>0</v>
      </c>
      <c r="H185" s="42">
        <f t="shared" si="23"/>
        <v>0</v>
      </c>
    </row>
    <row r="186" spans="3:10" x14ac:dyDescent="0.3">
      <c r="C186" s="213" t="s">
        <v>15</v>
      </c>
      <c r="D186" s="210" t="s">
        <v>542</v>
      </c>
      <c r="E186" s="42">
        <f t="shared" si="23"/>
        <v>0</v>
      </c>
      <c r="F186" s="42">
        <f t="shared" si="23"/>
        <v>0</v>
      </c>
      <c r="G186" s="42">
        <f t="shared" si="23"/>
        <v>0</v>
      </c>
      <c r="H186" s="42">
        <f t="shared" si="23"/>
        <v>0</v>
      </c>
    </row>
    <row r="187" spans="3:10" x14ac:dyDescent="0.3">
      <c r="C187" s="210" t="s">
        <v>16</v>
      </c>
      <c r="D187" s="210" t="s">
        <v>542</v>
      </c>
      <c r="E187" s="42">
        <f t="shared" si="23"/>
        <v>0</v>
      </c>
      <c r="F187" s="42">
        <f t="shared" si="23"/>
        <v>0</v>
      </c>
      <c r="G187" s="42">
        <f t="shared" si="23"/>
        <v>0</v>
      </c>
      <c r="H187" s="42">
        <f t="shared" si="23"/>
        <v>0</v>
      </c>
    </row>
    <row r="188" spans="3:10" x14ac:dyDescent="0.3">
      <c r="C188" s="210" t="s">
        <v>17</v>
      </c>
      <c r="D188" s="210" t="s">
        <v>542</v>
      </c>
      <c r="E188" s="42">
        <f t="shared" si="23"/>
        <v>0</v>
      </c>
      <c r="F188" s="42">
        <f t="shared" si="23"/>
        <v>0</v>
      </c>
      <c r="G188" s="42">
        <f t="shared" si="23"/>
        <v>0</v>
      </c>
      <c r="H188" s="42">
        <f t="shared" si="23"/>
        <v>0</v>
      </c>
    </row>
    <row r="189" spans="3:10" x14ac:dyDescent="0.3">
      <c r="C189" s="210" t="s">
        <v>18</v>
      </c>
      <c r="D189" s="210" t="s">
        <v>542</v>
      </c>
      <c r="E189" s="42">
        <f t="shared" si="23"/>
        <v>0</v>
      </c>
      <c r="F189" s="42">
        <f t="shared" si="23"/>
        <v>0</v>
      </c>
      <c r="G189" s="42">
        <f t="shared" si="23"/>
        <v>0</v>
      </c>
      <c r="H189" s="42">
        <f t="shared" si="23"/>
        <v>0</v>
      </c>
    </row>
    <row r="190" spans="3:10" x14ac:dyDescent="0.3">
      <c r="C190" s="210" t="s">
        <v>19</v>
      </c>
      <c r="D190" s="210" t="s">
        <v>542</v>
      </c>
      <c r="E190" s="42">
        <f t="shared" si="23"/>
        <v>0</v>
      </c>
      <c r="F190" s="42">
        <f t="shared" si="23"/>
        <v>0</v>
      </c>
      <c r="G190" s="42">
        <f t="shared" si="23"/>
        <v>0</v>
      </c>
      <c r="H190" s="42">
        <f t="shared" si="23"/>
        <v>0</v>
      </c>
    </row>
    <row r="191" spans="3:10" x14ac:dyDescent="0.3">
      <c r="C191" s="213" t="s">
        <v>20</v>
      </c>
      <c r="D191" s="210" t="s">
        <v>542</v>
      </c>
      <c r="E191" s="42">
        <f t="shared" si="23"/>
        <v>0</v>
      </c>
      <c r="F191" s="42">
        <f t="shared" si="23"/>
        <v>0</v>
      </c>
      <c r="G191" s="42">
        <f t="shared" si="23"/>
        <v>0</v>
      </c>
      <c r="H191" s="42">
        <f t="shared" si="23"/>
        <v>0</v>
      </c>
    </row>
    <row r="192" spans="3:10" x14ac:dyDescent="0.3">
      <c r="C192" s="213" t="s">
        <v>21</v>
      </c>
      <c r="D192" s="210" t="s">
        <v>542</v>
      </c>
      <c r="E192" s="42">
        <f t="shared" si="23"/>
        <v>0</v>
      </c>
      <c r="F192" s="42">
        <f t="shared" si="23"/>
        <v>0</v>
      </c>
      <c r="G192" s="42">
        <f t="shared" si="23"/>
        <v>0</v>
      </c>
      <c r="H192" s="42">
        <f t="shared" si="23"/>
        <v>0</v>
      </c>
    </row>
    <row r="193" spans="3:12" x14ac:dyDescent="0.3">
      <c r="C193" s="213" t="s">
        <v>22</v>
      </c>
      <c r="D193" s="210" t="s">
        <v>542</v>
      </c>
      <c r="E193" s="42">
        <f t="shared" si="23"/>
        <v>0</v>
      </c>
      <c r="F193" s="42">
        <f t="shared" si="23"/>
        <v>0</v>
      </c>
      <c r="G193" s="42">
        <f t="shared" si="23"/>
        <v>0</v>
      </c>
      <c r="H193" s="42">
        <f t="shared" si="23"/>
        <v>0</v>
      </c>
    </row>
    <row r="194" spans="3:12" x14ac:dyDescent="0.3">
      <c r="C194" s="216" t="s">
        <v>54</v>
      </c>
      <c r="D194" s="210" t="s">
        <v>542</v>
      </c>
      <c r="E194" s="45">
        <f>SUM(E185:E193)</f>
        <v>0</v>
      </c>
      <c r="F194" s="45">
        <f>SUM(F185:F193)</f>
        <v>0</v>
      </c>
      <c r="G194" s="45">
        <f>SUM(G185:G193)</f>
        <v>0</v>
      </c>
      <c r="H194" s="45">
        <f>SUM(H185:H193)</f>
        <v>0</v>
      </c>
      <c r="J194" s="45">
        <f>SUM(E194:H194)</f>
        <v>0</v>
      </c>
    </row>
    <row r="195" spans="3:12" x14ac:dyDescent="0.3">
      <c r="C195" s="209"/>
      <c r="D195" s="210"/>
      <c r="E195" s="42"/>
    </row>
    <row r="196" spans="3:12" x14ac:dyDescent="0.3">
      <c r="C196" s="51" t="s">
        <v>543</v>
      </c>
      <c r="D196" s="207"/>
      <c r="E196" s="208"/>
      <c r="F196" s="208"/>
      <c r="G196" s="208"/>
      <c r="H196" s="208"/>
      <c r="J196" s="26"/>
    </row>
    <row r="197" spans="3:12" x14ac:dyDescent="0.3">
      <c r="C197" s="209" t="s">
        <v>14</v>
      </c>
      <c r="D197" s="210" t="s">
        <v>69</v>
      </c>
      <c r="E197" s="211" t="e">
        <f t="shared" ref="E197:H203" si="24">E87*$J87*E162</f>
        <v>#VALUE!</v>
      </c>
      <c r="F197" s="211" t="e">
        <f t="shared" si="24"/>
        <v>#VALUE!</v>
      </c>
      <c r="G197" s="211" t="e">
        <f t="shared" si="24"/>
        <v>#VALUE!</v>
      </c>
      <c r="H197" s="211" t="e">
        <f t="shared" si="24"/>
        <v>#VALUE!</v>
      </c>
      <c r="J197" s="26"/>
    </row>
    <row r="198" spans="3:12" x14ac:dyDescent="0.3">
      <c r="C198" s="213" t="s">
        <v>15</v>
      </c>
      <c r="D198" s="210" t="s">
        <v>69</v>
      </c>
      <c r="E198" s="211" t="e">
        <f t="shared" si="24"/>
        <v>#VALUE!</v>
      </c>
      <c r="F198" s="211" t="e">
        <f t="shared" si="24"/>
        <v>#VALUE!</v>
      </c>
      <c r="G198" s="211" t="e">
        <f t="shared" si="24"/>
        <v>#VALUE!</v>
      </c>
      <c r="H198" s="211" t="e">
        <f t="shared" si="24"/>
        <v>#VALUE!</v>
      </c>
      <c r="J198" s="26"/>
    </row>
    <row r="199" spans="3:12" x14ac:dyDescent="0.3">
      <c r="C199" s="210" t="s">
        <v>16</v>
      </c>
      <c r="D199" s="210" t="s">
        <v>69</v>
      </c>
      <c r="E199" s="211" t="e">
        <f t="shared" si="24"/>
        <v>#VALUE!</v>
      </c>
      <c r="F199" s="211" t="e">
        <f t="shared" si="24"/>
        <v>#VALUE!</v>
      </c>
      <c r="G199" s="211" t="e">
        <f t="shared" si="24"/>
        <v>#VALUE!</v>
      </c>
      <c r="H199" s="211" t="e">
        <f t="shared" si="24"/>
        <v>#VALUE!</v>
      </c>
      <c r="J199" s="26"/>
    </row>
    <row r="200" spans="3:12" x14ac:dyDescent="0.3">
      <c r="C200" s="210" t="s">
        <v>17</v>
      </c>
      <c r="D200" s="210" t="s">
        <v>69</v>
      </c>
      <c r="E200" s="211" t="e">
        <f t="shared" si="24"/>
        <v>#VALUE!</v>
      </c>
      <c r="F200" s="211" t="e">
        <f t="shared" si="24"/>
        <v>#VALUE!</v>
      </c>
      <c r="G200" s="211" t="e">
        <f t="shared" si="24"/>
        <v>#VALUE!</v>
      </c>
      <c r="H200" s="211" t="e">
        <f t="shared" si="24"/>
        <v>#VALUE!</v>
      </c>
      <c r="J200" s="26"/>
    </row>
    <row r="201" spans="3:12" x14ac:dyDescent="0.3">
      <c r="C201" s="210" t="s">
        <v>18</v>
      </c>
      <c r="D201" s="210" t="s">
        <v>69</v>
      </c>
      <c r="E201" s="211" t="e">
        <f t="shared" si="24"/>
        <v>#VALUE!</v>
      </c>
      <c r="F201" s="211" t="e">
        <f t="shared" si="24"/>
        <v>#VALUE!</v>
      </c>
      <c r="G201" s="211" t="e">
        <f t="shared" si="24"/>
        <v>#VALUE!</v>
      </c>
      <c r="H201" s="211" t="e">
        <f t="shared" si="24"/>
        <v>#VALUE!</v>
      </c>
      <c r="J201" s="26"/>
    </row>
    <row r="202" spans="3:12" x14ac:dyDescent="0.3">
      <c r="C202" s="210" t="s">
        <v>19</v>
      </c>
      <c r="D202" s="210" t="s">
        <v>69</v>
      </c>
      <c r="E202" s="211" t="e">
        <f t="shared" si="24"/>
        <v>#VALUE!</v>
      </c>
      <c r="F202" s="211" t="e">
        <f t="shared" si="24"/>
        <v>#VALUE!</v>
      </c>
      <c r="G202" s="211" t="e">
        <f t="shared" si="24"/>
        <v>#VALUE!</v>
      </c>
      <c r="H202" s="211" t="e">
        <f t="shared" si="24"/>
        <v>#VALUE!</v>
      </c>
      <c r="J202" s="26"/>
    </row>
    <row r="203" spans="3:12" ht="15.95" customHeight="1" x14ac:dyDescent="0.3">
      <c r="C203" s="213" t="s">
        <v>20</v>
      </c>
      <c r="D203" s="210" t="s">
        <v>69</v>
      </c>
      <c r="E203" s="211" t="e">
        <f t="shared" si="24"/>
        <v>#VALUE!</v>
      </c>
      <c r="F203" s="211" t="e">
        <f t="shared" si="24"/>
        <v>#VALUE!</v>
      </c>
      <c r="G203" s="211" t="e">
        <f t="shared" si="24"/>
        <v>#VALUE!</v>
      </c>
      <c r="H203" s="211" t="e">
        <f t="shared" si="24"/>
        <v>#VALUE!</v>
      </c>
      <c r="J203" s="26"/>
    </row>
    <row r="204" spans="3:12" ht="15.95" customHeight="1" x14ac:dyDescent="0.3">
      <c r="C204" s="213" t="s">
        <v>21</v>
      </c>
      <c r="D204" s="210" t="s">
        <v>69</v>
      </c>
      <c r="E204" s="211"/>
      <c r="F204" s="211"/>
      <c r="G204" s="211"/>
      <c r="H204" s="211"/>
      <c r="J204" s="26"/>
      <c r="L204" s="17" t="s">
        <v>478</v>
      </c>
    </row>
    <row r="205" spans="3:12" x14ac:dyDescent="0.3">
      <c r="C205" s="213" t="s">
        <v>22</v>
      </c>
      <c r="D205" s="210" t="s">
        <v>69</v>
      </c>
      <c r="E205" s="211" t="e">
        <f>E95*$J95*E170</f>
        <v>#VALUE!</v>
      </c>
      <c r="F205" s="211" t="e">
        <f>F95*$J95*F170</f>
        <v>#VALUE!</v>
      </c>
      <c r="G205" s="211" t="e">
        <f>G95*$J95*G170</f>
        <v>#VALUE!</v>
      </c>
      <c r="H205" s="211" t="e">
        <f>H95*$J95*H170</f>
        <v>#VALUE!</v>
      </c>
      <c r="J205" s="26"/>
      <c r="L205" s="214" t="e">
        <f>AVERAGE(E197:H203,E205:H205)</f>
        <v>#VALUE!</v>
      </c>
    </row>
    <row r="206" spans="3:12" x14ac:dyDescent="0.3">
      <c r="C206" s="216" t="s">
        <v>54</v>
      </c>
      <c r="D206" s="210" t="s">
        <v>69</v>
      </c>
      <c r="E206" s="45" t="e">
        <f>SUM(E197:E205)</f>
        <v>#VALUE!</v>
      </c>
      <c r="F206" s="45" t="e">
        <f>SUM(F197:F205)</f>
        <v>#VALUE!</v>
      </c>
      <c r="G206" s="45" t="e">
        <f>SUM(G197:G205)</f>
        <v>#VALUE!</v>
      </c>
      <c r="H206" s="45" t="e">
        <f>SUM(H197:H205)</f>
        <v>#VALUE!</v>
      </c>
      <c r="J206" s="45" t="e">
        <f>SUM(E206:H206)</f>
        <v>#VALUE!</v>
      </c>
      <c r="L206" s="214"/>
    </row>
    <row r="207" spans="3:12" x14ac:dyDescent="0.3">
      <c r="C207" s="209"/>
      <c r="D207" s="210"/>
      <c r="E207" s="42"/>
      <c r="F207" s="211"/>
      <c r="G207" s="42"/>
      <c r="H207" s="42"/>
      <c r="J207" s="26"/>
    </row>
    <row r="208" spans="3:12" x14ac:dyDescent="0.3">
      <c r="C208" s="51" t="s">
        <v>522</v>
      </c>
      <c r="D208" s="84"/>
      <c r="E208" s="91"/>
    </row>
    <row r="209" spans="3:10" x14ac:dyDescent="0.3">
      <c r="C209" s="20" t="s">
        <v>14</v>
      </c>
      <c r="D209" s="84" t="s">
        <v>527</v>
      </c>
      <c r="E209" s="97" t="e">
        <f t="shared" ref="E209:H217" si="25">E162*E124</f>
        <v>#VALUE!</v>
      </c>
      <c r="F209" s="97" t="e">
        <f t="shared" si="25"/>
        <v>#VALUE!</v>
      </c>
      <c r="G209" s="97" t="e">
        <f t="shared" si="25"/>
        <v>#VALUE!</v>
      </c>
      <c r="H209" s="97" t="e">
        <f t="shared" si="25"/>
        <v>#VALUE!</v>
      </c>
    </row>
    <row r="210" spans="3:10" x14ac:dyDescent="0.3">
      <c r="C210" s="14" t="s">
        <v>15</v>
      </c>
      <c r="D210" s="84" t="s">
        <v>527</v>
      </c>
      <c r="E210" s="97">
        <f t="shared" si="25"/>
        <v>0</v>
      </c>
      <c r="F210" s="97">
        <f t="shared" si="25"/>
        <v>0</v>
      </c>
      <c r="G210" s="97">
        <f t="shared" si="25"/>
        <v>0</v>
      </c>
      <c r="H210" s="97">
        <f t="shared" si="25"/>
        <v>0</v>
      </c>
    </row>
    <row r="211" spans="3:10" x14ac:dyDescent="0.3">
      <c r="C211" s="15" t="s">
        <v>16</v>
      </c>
      <c r="D211" s="84" t="s">
        <v>527</v>
      </c>
      <c r="E211" s="97">
        <f t="shared" si="25"/>
        <v>0</v>
      </c>
      <c r="F211" s="97">
        <f t="shared" si="25"/>
        <v>0</v>
      </c>
      <c r="G211" s="97">
        <f t="shared" si="25"/>
        <v>0</v>
      </c>
      <c r="H211" s="97">
        <f t="shared" si="25"/>
        <v>0</v>
      </c>
    </row>
    <row r="212" spans="3:10" x14ac:dyDescent="0.3">
      <c r="C212" s="15" t="s">
        <v>17</v>
      </c>
      <c r="D212" s="84" t="s">
        <v>527</v>
      </c>
      <c r="E212" s="97">
        <f t="shared" si="25"/>
        <v>0</v>
      </c>
      <c r="F212" s="97">
        <f t="shared" si="25"/>
        <v>0</v>
      </c>
      <c r="G212" s="97">
        <f t="shared" si="25"/>
        <v>0</v>
      </c>
      <c r="H212" s="97">
        <f t="shared" si="25"/>
        <v>0</v>
      </c>
    </row>
    <row r="213" spans="3:10" x14ac:dyDescent="0.3">
      <c r="C213" s="15" t="s">
        <v>18</v>
      </c>
      <c r="D213" s="84" t="s">
        <v>527</v>
      </c>
      <c r="E213" s="97">
        <f t="shared" si="25"/>
        <v>0</v>
      </c>
      <c r="F213" s="97">
        <f t="shared" si="25"/>
        <v>0</v>
      </c>
      <c r="G213" s="97">
        <f t="shared" si="25"/>
        <v>0</v>
      </c>
      <c r="H213" s="97">
        <f t="shared" si="25"/>
        <v>0</v>
      </c>
    </row>
    <row r="214" spans="3:10" x14ac:dyDescent="0.3">
      <c r="C214" s="15" t="s">
        <v>19</v>
      </c>
      <c r="D214" s="84" t="s">
        <v>527</v>
      </c>
      <c r="E214" s="97">
        <f t="shared" si="25"/>
        <v>0</v>
      </c>
      <c r="F214" s="97">
        <f t="shared" si="25"/>
        <v>0</v>
      </c>
      <c r="G214" s="97">
        <f t="shared" si="25"/>
        <v>0</v>
      </c>
      <c r="H214" s="97">
        <f t="shared" si="25"/>
        <v>0</v>
      </c>
    </row>
    <row r="215" spans="3:10" x14ac:dyDescent="0.3">
      <c r="C215" s="14" t="s">
        <v>20</v>
      </c>
      <c r="D215" s="84" t="s">
        <v>527</v>
      </c>
      <c r="E215" s="97">
        <f t="shared" si="25"/>
        <v>0</v>
      </c>
      <c r="F215" s="97">
        <f t="shared" si="25"/>
        <v>0</v>
      </c>
      <c r="G215" s="97">
        <f t="shared" si="25"/>
        <v>0</v>
      </c>
      <c r="H215" s="97">
        <f t="shared" si="25"/>
        <v>0</v>
      </c>
    </row>
    <row r="216" spans="3:10" x14ac:dyDescent="0.3">
      <c r="C216" s="14" t="s">
        <v>21</v>
      </c>
      <c r="D216" s="84" t="s">
        <v>527</v>
      </c>
      <c r="E216" s="97">
        <f t="shared" si="25"/>
        <v>0</v>
      </c>
      <c r="F216" s="97">
        <f t="shared" si="25"/>
        <v>0</v>
      </c>
      <c r="G216" s="97">
        <f t="shared" si="25"/>
        <v>0</v>
      </c>
      <c r="H216" s="97">
        <f t="shared" si="25"/>
        <v>0</v>
      </c>
    </row>
    <row r="217" spans="3:10" x14ac:dyDescent="0.3">
      <c r="C217" s="14" t="s">
        <v>22</v>
      </c>
      <c r="D217" s="84" t="s">
        <v>527</v>
      </c>
      <c r="E217" s="97" t="e">
        <f t="shared" si="25"/>
        <v>#N/A</v>
      </c>
      <c r="F217" s="97" t="e">
        <f t="shared" si="25"/>
        <v>#N/A</v>
      </c>
      <c r="G217" s="97" t="e">
        <f t="shared" si="25"/>
        <v>#N/A</v>
      </c>
      <c r="H217" s="97" t="e">
        <f t="shared" si="25"/>
        <v>#N/A</v>
      </c>
    </row>
    <row r="218" spans="3:10" x14ac:dyDescent="0.3">
      <c r="C218" s="102" t="s">
        <v>54</v>
      </c>
      <c r="D218" s="133" t="s">
        <v>527</v>
      </c>
      <c r="E218" s="217" t="e">
        <f>SUM(E209:E217)</f>
        <v>#VALUE!</v>
      </c>
      <c r="F218" s="217" t="e">
        <f t="shared" ref="F218:H218" si="26">SUM(F209:F217)</f>
        <v>#VALUE!</v>
      </c>
      <c r="G218" s="217" t="e">
        <f t="shared" si="26"/>
        <v>#VALUE!</v>
      </c>
      <c r="H218" s="217" t="e">
        <f t="shared" si="26"/>
        <v>#VALUE!</v>
      </c>
      <c r="J218" s="217" t="e">
        <f>SUM(E218:H218)</f>
        <v>#VALUE!</v>
      </c>
    </row>
    <row r="219" spans="3:10" x14ac:dyDescent="0.3">
      <c r="C219" s="20"/>
      <c r="E219" s="42"/>
    </row>
    <row r="220" spans="3:10" x14ac:dyDescent="0.3">
      <c r="C220" s="51" t="s">
        <v>604</v>
      </c>
      <c r="D220" s="207"/>
      <c r="E220" s="208"/>
    </row>
    <row r="221" spans="3:10" x14ac:dyDescent="0.3">
      <c r="C221" s="209" t="s">
        <v>14</v>
      </c>
      <c r="D221" s="207" t="s">
        <v>605</v>
      </c>
      <c r="E221" s="97" t="e">
        <f t="shared" ref="E221:H229" si="27">E162*E124*E$73</f>
        <v>#VALUE!</v>
      </c>
      <c r="F221" s="97" t="e">
        <f t="shared" si="27"/>
        <v>#VALUE!</v>
      </c>
      <c r="G221" s="97" t="e">
        <f t="shared" si="27"/>
        <v>#VALUE!</v>
      </c>
      <c r="H221" s="97" t="e">
        <f t="shared" si="27"/>
        <v>#VALUE!</v>
      </c>
    </row>
    <row r="222" spans="3:10" x14ac:dyDescent="0.3">
      <c r="C222" s="213" t="s">
        <v>15</v>
      </c>
      <c r="D222" s="207" t="s">
        <v>605</v>
      </c>
      <c r="E222" s="97">
        <f t="shared" si="27"/>
        <v>0</v>
      </c>
      <c r="F222" s="97">
        <f t="shared" si="27"/>
        <v>0</v>
      </c>
      <c r="G222" s="97">
        <f t="shared" si="27"/>
        <v>0</v>
      </c>
      <c r="H222" s="97">
        <f t="shared" si="27"/>
        <v>0</v>
      </c>
    </row>
    <row r="223" spans="3:10" x14ac:dyDescent="0.3">
      <c r="C223" s="210" t="s">
        <v>16</v>
      </c>
      <c r="D223" s="207" t="s">
        <v>605</v>
      </c>
      <c r="E223" s="97">
        <f t="shared" si="27"/>
        <v>0</v>
      </c>
      <c r="F223" s="97">
        <f t="shared" si="27"/>
        <v>0</v>
      </c>
      <c r="G223" s="97">
        <f t="shared" si="27"/>
        <v>0</v>
      </c>
      <c r="H223" s="97">
        <f t="shared" si="27"/>
        <v>0</v>
      </c>
    </row>
    <row r="224" spans="3:10" x14ac:dyDescent="0.3">
      <c r="C224" s="210" t="s">
        <v>17</v>
      </c>
      <c r="D224" s="207" t="s">
        <v>605</v>
      </c>
      <c r="E224" s="97">
        <f t="shared" si="27"/>
        <v>0</v>
      </c>
      <c r="F224" s="97">
        <f t="shared" si="27"/>
        <v>0</v>
      </c>
      <c r="G224" s="97">
        <f t="shared" si="27"/>
        <v>0</v>
      </c>
      <c r="H224" s="97">
        <f t="shared" si="27"/>
        <v>0</v>
      </c>
    </row>
    <row r="225" spans="3:10" x14ac:dyDescent="0.3">
      <c r="C225" s="210" t="s">
        <v>18</v>
      </c>
      <c r="D225" s="207" t="s">
        <v>605</v>
      </c>
      <c r="E225" s="97">
        <f t="shared" si="27"/>
        <v>0</v>
      </c>
      <c r="F225" s="97">
        <f t="shared" si="27"/>
        <v>0</v>
      </c>
      <c r="G225" s="97">
        <f t="shared" si="27"/>
        <v>0</v>
      </c>
      <c r="H225" s="97">
        <f t="shared" si="27"/>
        <v>0</v>
      </c>
    </row>
    <row r="226" spans="3:10" x14ac:dyDescent="0.3">
      <c r="C226" s="210" t="s">
        <v>19</v>
      </c>
      <c r="D226" s="207" t="s">
        <v>605</v>
      </c>
      <c r="E226" s="97">
        <f t="shared" si="27"/>
        <v>0</v>
      </c>
      <c r="F226" s="97">
        <f t="shared" si="27"/>
        <v>0</v>
      </c>
      <c r="G226" s="97">
        <f t="shared" si="27"/>
        <v>0</v>
      </c>
      <c r="H226" s="97">
        <f t="shared" si="27"/>
        <v>0</v>
      </c>
    </row>
    <row r="227" spans="3:10" x14ac:dyDescent="0.3">
      <c r="C227" s="213" t="s">
        <v>20</v>
      </c>
      <c r="D227" s="207" t="s">
        <v>605</v>
      </c>
      <c r="E227" s="97">
        <f t="shared" si="27"/>
        <v>0</v>
      </c>
      <c r="F227" s="97">
        <f t="shared" si="27"/>
        <v>0</v>
      </c>
      <c r="G227" s="97">
        <f t="shared" si="27"/>
        <v>0</v>
      </c>
      <c r="H227" s="97">
        <f t="shared" si="27"/>
        <v>0</v>
      </c>
    </row>
    <row r="228" spans="3:10" x14ac:dyDescent="0.3">
      <c r="C228" s="213" t="s">
        <v>21</v>
      </c>
      <c r="D228" s="207" t="s">
        <v>605</v>
      </c>
      <c r="E228" s="97">
        <f t="shared" si="27"/>
        <v>0</v>
      </c>
      <c r="F228" s="97">
        <f t="shared" si="27"/>
        <v>0</v>
      </c>
      <c r="G228" s="97">
        <f t="shared" si="27"/>
        <v>0</v>
      </c>
      <c r="H228" s="97">
        <f t="shared" si="27"/>
        <v>0</v>
      </c>
    </row>
    <row r="229" spans="3:10" x14ac:dyDescent="0.3">
      <c r="C229" s="213" t="s">
        <v>22</v>
      </c>
      <c r="D229" s="207" t="s">
        <v>605</v>
      </c>
      <c r="E229" s="97" t="e">
        <f t="shared" si="27"/>
        <v>#N/A</v>
      </c>
      <c r="F229" s="97" t="e">
        <f t="shared" si="27"/>
        <v>#N/A</v>
      </c>
      <c r="G229" s="97" t="e">
        <f t="shared" si="27"/>
        <v>#N/A</v>
      </c>
      <c r="H229" s="97" t="e">
        <f t="shared" si="27"/>
        <v>#N/A</v>
      </c>
    </row>
    <row r="230" spans="3:10" x14ac:dyDescent="0.3">
      <c r="C230" s="216" t="s">
        <v>54</v>
      </c>
      <c r="D230" s="218" t="s">
        <v>605</v>
      </c>
      <c r="E230" s="217" t="e">
        <f>SUM(E221:E229)</f>
        <v>#VALUE!</v>
      </c>
      <c r="F230" s="217" t="e">
        <f>SUM(F221:F229)</f>
        <v>#VALUE!</v>
      </c>
      <c r="G230" s="217" t="e">
        <f>SUM(G221:G229)</f>
        <v>#VALUE!</v>
      </c>
      <c r="H230" s="217" t="e">
        <f>SUM(H221:H229)</f>
        <v>#VALUE!</v>
      </c>
      <c r="J230" s="217" t="e">
        <f>SUM(E230:H230)</f>
        <v>#VALUE!</v>
      </c>
    </row>
    <row r="231" spans="3:10" x14ac:dyDescent="0.3">
      <c r="C231" s="209"/>
      <c r="E231" s="42"/>
    </row>
    <row r="232" spans="3:10" x14ac:dyDescent="0.3">
      <c r="C232" s="51" t="s">
        <v>313</v>
      </c>
      <c r="E232" s="91"/>
    </row>
    <row r="233" spans="3:10" x14ac:dyDescent="0.3">
      <c r="C233" s="20" t="s">
        <v>14</v>
      </c>
      <c r="D233" s="84" t="s">
        <v>272</v>
      </c>
      <c r="E233" s="42" t="e">
        <f t="shared" ref="E233:H239" si="28">E162*E135</f>
        <v>#VALUE!</v>
      </c>
      <c r="F233" s="42" t="e">
        <f t="shared" si="28"/>
        <v>#VALUE!</v>
      </c>
      <c r="G233" s="42" t="e">
        <f t="shared" si="28"/>
        <v>#VALUE!</v>
      </c>
      <c r="H233" s="42" t="e">
        <f t="shared" si="28"/>
        <v>#VALUE!</v>
      </c>
    </row>
    <row r="234" spans="3:10" x14ac:dyDescent="0.3">
      <c r="C234" s="14" t="s">
        <v>15</v>
      </c>
      <c r="D234" s="84" t="s">
        <v>272</v>
      </c>
      <c r="E234" s="42">
        <f t="shared" si="28"/>
        <v>0</v>
      </c>
      <c r="F234" s="42">
        <f t="shared" si="28"/>
        <v>0</v>
      </c>
      <c r="G234" s="42">
        <f t="shared" si="28"/>
        <v>0</v>
      </c>
      <c r="H234" s="42">
        <f t="shared" si="28"/>
        <v>0</v>
      </c>
    </row>
    <row r="235" spans="3:10" x14ac:dyDescent="0.3">
      <c r="C235" s="15" t="s">
        <v>16</v>
      </c>
      <c r="D235" s="84" t="s">
        <v>272</v>
      </c>
      <c r="E235" s="42">
        <f t="shared" si="28"/>
        <v>0</v>
      </c>
      <c r="F235" s="42">
        <f t="shared" si="28"/>
        <v>0</v>
      </c>
      <c r="G235" s="42">
        <f t="shared" si="28"/>
        <v>0</v>
      </c>
      <c r="H235" s="42">
        <f t="shared" si="28"/>
        <v>0</v>
      </c>
    </row>
    <row r="236" spans="3:10" x14ac:dyDescent="0.3">
      <c r="C236" s="15" t="s">
        <v>17</v>
      </c>
      <c r="D236" s="84" t="s">
        <v>272</v>
      </c>
      <c r="E236" s="42">
        <f t="shared" si="28"/>
        <v>0</v>
      </c>
      <c r="F236" s="42">
        <f t="shared" si="28"/>
        <v>0</v>
      </c>
      <c r="G236" s="42">
        <f t="shared" si="28"/>
        <v>0</v>
      </c>
      <c r="H236" s="42">
        <f t="shared" si="28"/>
        <v>0</v>
      </c>
    </row>
    <row r="237" spans="3:10" x14ac:dyDescent="0.3">
      <c r="C237" s="15" t="s">
        <v>18</v>
      </c>
      <c r="D237" s="84" t="s">
        <v>272</v>
      </c>
      <c r="E237" s="42">
        <f t="shared" si="28"/>
        <v>0</v>
      </c>
      <c r="F237" s="42">
        <f t="shared" si="28"/>
        <v>0</v>
      </c>
      <c r="G237" s="42">
        <f t="shared" si="28"/>
        <v>0</v>
      </c>
      <c r="H237" s="42">
        <f t="shared" si="28"/>
        <v>0</v>
      </c>
    </row>
    <row r="238" spans="3:10" x14ac:dyDescent="0.3">
      <c r="C238" s="15" t="s">
        <v>19</v>
      </c>
      <c r="D238" s="84" t="s">
        <v>272</v>
      </c>
      <c r="E238" s="42">
        <f t="shared" si="28"/>
        <v>0</v>
      </c>
      <c r="F238" s="42">
        <f t="shared" si="28"/>
        <v>0</v>
      </c>
      <c r="G238" s="42">
        <f t="shared" si="28"/>
        <v>0</v>
      </c>
      <c r="H238" s="42">
        <f t="shared" si="28"/>
        <v>0</v>
      </c>
    </row>
    <row r="239" spans="3:10" x14ac:dyDescent="0.3">
      <c r="C239" s="14" t="s">
        <v>20</v>
      </c>
      <c r="D239" s="84" t="s">
        <v>272</v>
      </c>
      <c r="E239" s="42">
        <f t="shared" si="28"/>
        <v>0</v>
      </c>
      <c r="F239" s="42">
        <f t="shared" si="28"/>
        <v>0</v>
      </c>
      <c r="G239" s="42">
        <f t="shared" si="28"/>
        <v>0</v>
      </c>
      <c r="H239" s="42">
        <f t="shared" si="28"/>
        <v>0</v>
      </c>
    </row>
    <row r="240" spans="3:10" x14ac:dyDescent="0.3">
      <c r="C240" s="14" t="s">
        <v>21</v>
      </c>
      <c r="D240" s="84" t="s">
        <v>272</v>
      </c>
      <c r="E240" s="42"/>
      <c r="F240" s="42"/>
      <c r="G240" s="42"/>
      <c r="H240" s="42"/>
    </row>
    <row r="241" spans="3:10" x14ac:dyDescent="0.3">
      <c r="C241" s="14" t="s">
        <v>22</v>
      </c>
      <c r="D241" s="84" t="s">
        <v>272</v>
      </c>
      <c r="E241" s="42" t="e">
        <f>E170*E143</f>
        <v>#N/A</v>
      </c>
      <c r="F241" s="42" t="e">
        <f>F170*F143</f>
        <v>#N/A</v>
      </c>
      <c r="G241" s="42" t="e">
        <f>G170*G143</f>
        <v>#N/A</v>
      </c>
      <c r="H241" s="42" t="e">
        <f>H170*H143</f>
        <v>#N/A</v>
      </c>
    </row>
    <row r="242" spans="3:10" x14ac:dyDescent="0.3">
      <c r="C242" s="102" t="s">
        <v>54</v>
      </c>
      <c r="D242" s="84" t="s">
        <v>272</v>
      </c>
      <c r="E242" s="45" t="e">
        <f>SUM(E233:E241)</f>
        <v>#VALUE!</v>
      </c>
      <c r="F242" s="45" t="e">
        <f>SUM(F233:F241)</f>
        <v>#VALUE!</v>
      </c>
      <c r="G242" s="45" t="e">
        <f>SUM(G233:G241)</f>
        <v>#VALUE!</v>
      </c>
      <c r="H242" s="45" t="e">
        <f>SUM(H233:H241)</f>
        <v>#VALUE!</v>
      </c>
      <c r="J242" s="45" t="e">
        <f>SUM(E242:H242)</f>
        <v>#VALUE!</v>
      </c>
    </row>
    <row r="244" spans="3:10" x14ac:dyDescent="0.3">
      <c r="C244" s="51" t="s">
        <v>546</v>
      </c>
      <c r="E244" s="208"/>
    </row>
    <row r="245" spans="3:10" x14ac:dyDescent="0.3">
      <c r="C245" s="209" t="s">
        <v>14</v>
      </c>
      <c r="D245" s="207" t="s">
        <v>69</v>
      </c>
      <c r="E245" s="42" t="e">
        <f t="shared" ref="E245:E251" si="29">E162*E135*$J148</f>
        <v>#VALUE!</v>
      </c>
      <c r="F245" s="42" t="e">
        <f t="shared" ref="F245:H245" si="30">F162*F135*$J148</f>
        <v>#VALUE!</v>
      </c>
      <c r="G245" s="42" t="e">
        <f t="shared" si="30"/>
        <v>#VALUE!</v>
      </c>
      <c r="H245" s="42" t="e">
        <f t="shared" si="30"/>
        <v>#VALUE!</v>
      </c>
    </row>
    <row r="246" spans="3:10" x14ac:dyDescent="0.3">
      <c r="C246" s="213" t="s">
        <v>15</v>
      </c>
      <c r="D246" s="207" t="s">
        <v>69</v>
      </c>
      <c r="E246" s="42">
        <f t="shared" si="29"/>
        <v>0</v>
      </c>
      <c r="F246" s="42">
        <f t="shared" ref="F246:H251" si="31">F163*F136*$J149</f>
        <v>0</v>
      </c>
      <c r="G246" s="42">
        <f t="shared" si="31"/>
        <v>0</v>
      </c>
      <c r="H246" s="42">
        <f t="shared" si="31"/>
        <v>0</v>
      </c>
    </row>
    <row r="247" spans="3:10" x14ac:dyDescent="0.3">
      <c r="C247" s="210" t="s">
        <v>16</v>
      </c>
      <c r="D247" s="207" t="s">
        <v>69</v>
      </c>
      <c r="E247" s="42">
        <f t="shared" si="29"/>
        <v>0</v>
      </c>
      <c r="F247" s="42">
        <f t="shared" si="31"/>
        <v>0</v>
      </c>
      <c r="G247" s="42">
        <f t="shared" si="31"/>
        <v>0</v>
      </c>
      <c r="H247" s="42">
        <f t="shared" si="31"/>
        <v>0</v>
      </c>
    </row>
    <row r="248" spans="3:10" x14ac:dyDescent="0.3">
      <c r="C248" s="210" t="s">
        <v>17</v>
      </c>
      <c r="D248" s="207" t="s">
        <v>69</v>
      </c>
      <c r="E248" s="42">
        <f t="shared" si="29"/>
        <v>0</v>
      </c>
      <c r="F248" s="42">
        <f t="shared" si="31"/>
        <v>0</v>
      </c>
      <c r="G248" s="42">
        <f t="shared" si="31"/>
        <v>0</v>
      </c>
      <c r="H248" s="42">
        <f t="shared" si="31"/>
        <v>0</v>
      </c>
    </row>
    <row r="249" spans="3:10" x14ac:dyDescent="0.3">
      <c r="C249" s="210" t="s">
        <v>18</v>
      </c>
      <c r="D249" s="207" t="s">
        <v>69</v>
      </c>
      <c r="E249" s="42">
        <f t="shared" si="29"/>
        <v>0</v>
      </c>
      <c r="F249" s="42">
        <f t="shared" si="31"/>
        <v>0</v>
      </c>
      <c r="G249" s="42">
        <f t="shared" si="31"/>
        <v>0</v>
      </c>
      <c r="H249" s="42">
        <f t="shared" si="31"/>
        <v>0</v>
      </c>
    </row>
    <row r="250" spans="3:10" x14ac:dyDescent="0.3">
      <c r="C250" s="210" t="s">
        <v>19</v>
      </c>
      <c r="D250" s="207" t="s">
        <v>69</v>
      </c>
      <c r="E250" s="42">
        <f t="shared" si="29"/>
        <v>0</v>
      </c>
      <c r="F250" s="42">
        <f t="shared" si="31"/>
        <v>0</v>
      </c>
      <c r="G250" s="42">
        <f t="shared" si="31"/>
        <v>0</v>
      </c>
      <c r="H250" s="42">
        <f t="shared" si="31"/>
        <v>0</v>
      </c>
    </row>
    <row r="251" spans="3:10" x14ac:dyDescent="0.3">
      <c r="C251" s="213" t="s">
        <v>20</v>
      </c>
      <c r="D251" s="207" t="s">
        <v>69</v>
      </c>
      <c r="E251" s="42">
        <f t="shared" si="29"/>
        <v>0</v>
      </c>
      <c r="F251" s="42">
        <f t="shared" si="31"/>
        <v>0</v>
      </c>
      <c r="G251" s="42">
        <f t="shared" si="31"/>
        <v>0</v>
      </c>
      <c r="H251" s="42">
        <f t="shared" si="31"/>
        <v>0</v>
      </c>
    </row>
    <row r="252" spans="3:10" x14ac:dyDescent="0.3">
      <c r="C252" s="213" t="s">
        <v>21</v>
      </c>
      <c r="D252" s="207" t="s">
        <v>69</v>
      </c>
      <c r="E252" s="42"/>
      <c r="F252" s="42"/>
      <c r="G252" s="42"/>
      <c r="H252" s="42"/>
    </row>
    <row r="253" spans="3:10" x14ac:dyDescent="0.3">
      <c r="C253" s="213" t="s">
        <v>22</v>
      </c>
      <c r="D253" s="207" t="s">
        <v>69</v>
      </c>
      <c r="E253" s="42" t="e">
        <f>E170*E143*$J156</f>
        <v>#N/A</v>
      </c>
      <c r="F253" s="42" t="e">
        <f>F170*F143*$J156</f>
        <v>#N/A</v>
      </c>
      <c r="G253" s="42" t="e">
        <f>G170*G143*$J156</f>
        <v>#N/A</v>
      </c>
      <c r="H253" s="42" t="e">
        <f>H170*H143*$J156</f>
        <v>#N/A</v>
      </c>
    </row>
    <row r="254" spans="3:10" x14ac:dyDescent="0.3">
      <c r="C254" s="216" t="s">
        <v>54</v>
      </c>
      <c r="D254" s="207" t="s">
        <v>69</v>
      </c>
      <c r="E254" s="45" t="e">
        <f>SUM(E245:E253)</f>
        <v>#VALUE!</v>
      </c>
      <c r="F254" s="45" t="e">
        <f>SUM(F245:F253)</f>
        <v>#VALUE!</v>
      </c>
      <c r="G254" s="45" t="e">
        <f>SUM(G245:G253)</f>
        <v>#VALUE!</v>
      </c>
      <c r="H254" s="45" t="e">
        <f>SUM(H245:H253)</f>
        <v>#VALUE!</v>
      </c>
      <c r="J254" s="45" t="e">
        <f>SUM(E254:H254)</f>
        <v>#VALUE!</v>
      </c>
    </row>
    <row r="256" spans="3:10" x14ac:dyDescent="0.3">
      <c r="C256" s="51" t="s">
        <v>547</v>
      </c>
    </row>
    <row r="257" spans="3:10" x14ac:dyDescent="0.3">
      <c r="C257" s="209" t="s">
        <v>14</v>
      </c>
      <c r="D257" s="207" t="s">
        <v>548</v>
      </c>
      <c r="E257" s="160" t="e">
        <f t="shared" ref="E257:E265" si="32">E162*(M124+U124+AC124+AK124)</f>
        <v>#DIV/0!</v>
      </c>
      <c r="F257" s="160" t="e">
        <f t="shared" ref="F257:F265" si="33">F162*(N124+V124+AD124+AL124)</f>
        <v>#DIV/0!</v>
      </c>
      <c r="G257" s="160" t="e">
        <f t="shared" ref="G257:G265" si="34">G162*(O124+W124+AE124+AM124)</f>
        <v>#DIV/0!</v>
      </c>
      <c r="H257" s="160" t="e">
        <f t="shared" ref="H257:H265" si="35">H162*(P124+X124+AF124+AN124)</f>
        <v>#DIV/0!</v>
      </c>
    </row>
    <row r="258" spans="3:10" x14ac:dyDescent="0.3">
      <c r="C258" s="213" t="s">
        <v>15</v>
      </c>
      <c r="D258" s="207" t="s">
        <v>548</v>
      </c>
      <c r="E258" s="130">
        <f t="shared" si="32"/>
        <v>0</v>
      </c>
      <c r="F258" s="130">
        <f t="shared" si="33"/>
        <v>0</v>
      </c>
      <c r="G258" s="130">
        <f t="shared" si="34"/>
        <v>0</v>
      </c>
      <c r="H258" s="130">
        <f t="shared" si="35"/>
        <v>0</v>
      </c>
    </row>
    <row r="259" spans="3:10" x14ac:dyDescent="0.3">
      <c r="C259" s="210" t="s">
        <v>16</v>
      </c>
      <c r="D259" s="207" t="s">
        <v>548</v>
      </c>
      <c r="E259" s="130">
        <f t="shared" si="32"/>
        <v>0</v>
      </c>
      <c r="F259" s="130">
        <f t="shared" si="33"/>
        <v>0</v>
      </c>
      <c r="G259" s="130">
        <f t="shared" si="34"/>
        <v>0</v>
      </c>
      <c r="H259" s="130">
        <f t="shared" si="35"/>
        <v>0</v>
      </c>
    </row>
    <row r="260" spans="3:10" x14ac:dyDescent="0.3">
      <c r="C260" s="210" t="s">
        <v>17</v>
      </c>
      <c r="D260" s="207" t="s">
        <v>548</v>
      </c>
      <c r="E260" s="130">
        <f t="shared" si="32"/>
        <v>0</v>
      </c>
      <c r="F260" s="130">
        <f t="shared" si="33"/>
        <v>0</v>
      </c>
      <c r="G260" s="130">
        <f t="shared" si="34"/>
        <v>0</v>
      </c>
      <c r="H260" s="130">
        <f t="shared" si="35"/>
        <v>0</v>
      </c>
    </row>
    <row r="261" spans="3:10" x14ac:dyDescent="0.3">
      <c r="C261" s="210" t="s">
        <v>18</v>
      </c>
      <c r="D261" s="207" t="s">
        <v>548</v>
      </c>
      <c r="E261" s="130">
        <f t="shared" si="32"/>
        <v>0</v>
      </c>
      <c r="F261" s="130">
        <f t="shared" si="33"/>
        <v>0</v>
      </c>
      <c r="G261" s="130">
        <f t="shared" si="34"/>
        <v>0</v>
      </c>
      <c r="H261" s="130">
        <f t="shared" si="35"/>
        <v>0</v>
      </c>
    </row>
    <row r="262" spans="3:10" x14ac:dyDescent="0.3">
      <c r="C262" s="210" t="s">
        <v>19</v>
      </c>
      <c r="D262" s="207" t="s">
        <v>548</v>
      </c>
      <c r="E262" s="130">
        <f t="shared" si="32"/>
        <v>0</v>
      </c>
      <c r="F262" s="130">
        <f t="shared" si="33"/>
        <v>0</v>
      </c>
      <c r="G262" s="130">
        <f t="shared" si="34"/>
        <v>0</v>
      </c>
      <c r="H262" s="130">
        <f t="shared" si="35"/>
        <v>0</v>
      </c>
    </row>
    <row r="263" spans="3:10" x14ac:dyDescent="0.3">
      <c r="C263" s="213" t="s">
        <v>20</v>
      </c>
      <c r="D263" s="207" t="s">
        <v>548</v>
      </c>
      <c r="E263" s="130">
        <f t="shared" si="32"/>
        <v>0</v>
      </c>
      <c r="F263" s="130">
        <f t="shared" si="33"/>
        <v>0</v>
      </c>
      <c r="G263" s="130">
        <f t="shared" si="34"/>
        <v>0</v>
      </c>
      <c r="H263" s="130">
        <f t="shared" si="35"/>
        <v>0</v>
      </c>
    </row>
    <row r="264" spans="3:10" x14ac:dyDescent="0.3">
      <c r="C264" s="213" t="s">
        <v>21</v>
      </c>
      <c r="D264" s="207" t="s">
        <v>548</v>
      </c>
      <c r="E264" s="160">
        <f t="shared" si="32"/>
        <v>0</v>
      </c>
      <c r="F264" s="160">
        <f t="shared" si="33"/>
        <v>0</v>
      </c>
      <c r="G264" s="160">
        <f t="shared" si="34"/>
        <v>0</v>
      </c>
      <c r="H264" s="160">
        <f t="shared" si="35"/>
        <v>0</v>
      </c>
    </row>
    <row r="265" spans="3:10" x14ac:dyDescent="0.3">
      <c r="C265" s="213" t="s">
        <v>22</v>
      </c>
      <c r="D265" s="207" t="s">
        <v>548</v>
      </c>
      <c r="E265" s="160" t="e">
        <f t="shared" si="32"/>
        <v>#DIV/0!</v>
      </c>
      <c r="F265" s="160" t="e">
        <f t="shared" si="33"/>
        <v>#DIV/0!</v>
      </c>
      <c r="G265" s="160" t="e">
        <f t="shared" si="34"/>
        <v>#DIV/0!</v>
      </c>
      <c r="H265" s="160" t="e">
        <f t="shared" si="35"/>
        <v>#DIV/0!</v>
      </c>
    </row>
    <row r="266" spans="3:10" x14ac:dyDescent="0.3">
      <c r="C266" s="102" t="s">
        <v>54</v>
      </c>
      <c r="D266" s="84" t="s">
        <v>548</v>
      </c>
      <c r="E266" s="200" t="e">
        <f>SUM(E257:E265)</f>
        <v>#DIV/0!</v>
      </c>
      <c r="F266" s="200" t="e">
        <f t="shared" ref="F266:H266" si="36">SUM(F257:F265)</f>
        <v>#DIV/0!</v>
      </c>
      <c r="G266" s="200" t="e">
        <f t="shared" si="36"/>
        <v>#DIV/0!</v>
      </c>
      <c r="H266" s="200" t="e">
        <f t="shared" si="36"/>
        <v>#DIV/0!</v>
      </c>
      <c r="J266" s="200" t="e">
        <f>SUM(E266:H266)</f>
        <v>#DIV/0!</v>
      </c>
    </row>
    <row r="268" spans="3:10" x14ac:dyDescent="0.3">
      <c r="C268" s="51" t="s">
        <v>549</v>
      </c>
    </row>
    <row r="269" spans="3:10" x14ac:dyDescent="0.3">
      <c r="C269" s="209" t="s">
        <v>14</v>
      </c>
      <c r="D269" s="207" t="s">
        <v>550</v>
      </c>
      <c r="E269" s="160" t="e">
        <f t="shared" ref="E269:E277" si="37">E162*(M124+U124+AC124+AK124)*E$73</f>
        <v>#DIV/0!</v>
      </c>
      <c r="F269" s="160" t="e">
        <f t="shared" ref="F269:F277" si="38">F162*(N124+V124+AD124+AL124)*F$73</f>
        <v>#DIV/0!</v>
      </c>
      <c r="G269" s="160" t="e">
        <f t="shared" ref="G269:G277" si="39">G162*(O124+W124+AE124+AM124)*G$73</f>
        <v>#DIV/0!</v>
      </c>
      <c r="H269" s="160" t="e">
        <f t="shared" ref="H269:H277" si="40">H162*(P124+X124+AF124+AN124)*H$73</f>
        <v>#DIV/0!</v>
      </c>
    </row>
    <row r="270" spans="3:10" x14ac:dyDescent="0.3">
      <c r="C270" s="213" t="s">
        <v>15</v>
      </c>
      <c r="D270" s="207" t="s">
        <v>550</v>
      </c>
      <c r="E270" s="130">
        <f t="shared" si="37"/>
        <v>0</v>
      </c>
      <c r="F270" s="130">
        <f t="shared" si="38"/>
        <v>0</v>
      </c>
      <c r="G270" s="130">
        <f t="shared" si="39"/>
        <v>0</v>
      </c>
      <c r="H270" s="130">
        <f t="shared" si="40"/>
        <v>0</v>
      </c>
    </row>
    <row r="271" spans="3:10" x14ac:dyDescent="0.3">
      <c r="C271" s="210" t="s">
        <v>16</v>
      </c>
      <c r="D271" s="207" t="s">
        <v>550</v>
      </c>
      <c r="E271" s="130">
        <f t="shared" si="37"/>
        <v>0</v>
      </c>
      <c r="F271" s="130">
        <f t="shared" si="38"/>
        <v>0</v>
      </c>
      <c r="G271" s="130">
        <f t="shared" si="39"/>
        <v>0</v>
      </c>
      <c r="H271" s="130">
        <f t="shared" si="40"/>
        <v>0</v>
      </c>
    </row>
    <row r="272" spans="3:10" x14ac:dyDescent="0.3">
      <c r="C272" s="210" t="s">
        <v>17</v>
      </c>
      <c r="D272" s="207" t="s">
        <v>550</v>
      </c>
      <c r="E272" s="130">
        <f t="shared" si="37"/>
        <v>0</v>
      </c>
      <c r="F272" s="130">
        <f t="shared" si="38"/>
        <v>0</v>
      </c>
      <c r="G272" s="130">
        <f t="shared" si="39"/>
        <v>0</v>
      </c>
      <c r="H272" s="130">
        <f t="shared" si="40"/>
        <v>0</v>
      </c>
    </row>
    <row r="273" spans="3:10" x14ac:dyDescent="0.3">
      <c r="C273" s="210" t="s">
        <v>18</v>
      </c>
      <c r="D273" s="207" t="s">
        <v>550</v>
      </c>
      <c r="E273" s="130">
        <f t="shared" si="37"/>
        <v>0</v>
      </c>
      <c r="F273" s="130">
        <f t="shared" si="38"/>
        <v>0</v>
      </c>
      <c r="G273" s="130">
        <f t="shared" si="39"/>
        <v>0</v>
      </c>
      <c r="H273" s="130">
        <f t="shared" si="40"/>
        <v>0</v>
      </c>
    </row>
    <row r="274" spans="3:10" x14ac:dyDescent="0.3">
      <c r="C274" s="210" t="s">
        <v>19</v>
      </c>
      <c r="D274" s="207" t="s">
        <v>550</v>
      </c>
      <c r="E274" s="130">
        <f t="shared" si="37"/>
        <v>0</v>
      </c>
      <c r="F274" s="130">
        <f t="shared" si="38"/>
        <v>0</v>
      </c>
      <c r="G274" s="130">
        <f t="shared" si="39"/>
        <v>0</v>
      </c>
      <c r="H274" s="130">
        <f t="shared" si="40"/>
        <v>0</v>
      </c>
    </row>
    <row r="275" spans="3:10" x14ac:dyDescent="0.3">
      <c r="C275" s="213" t="s">
        <v>20</v>
      </c>
      <c r="D275" s="207" t="s">
        <v>550</v>
      </c>
      <c r="E275" s="130">
        <f t="shared" si="37"/>
        <v>0</v>
      </c>
      <c r="F275" s="130">
        <f t="shared" si="38"/>
        <v>0</v>
      </c>
      <c r="G275" s="130">
        <f t="shared" si="39"/>
        <v>0</v>
      </c>
      <c r="H275" s="130">
        <f t="shared" si="40"/>
        <v>0</v>
      </c>
    </row>
    <row r="276" spans="3:10" x14ac:dyDescent="0.3">
      <c r="C276" s="213" t="s">
        <v>21</v>
      </c>
      <c r="D276" s="207" t="s">
        <v>550</v>
      </c>
      <c r="E276" s="160">
        <f t="shared" si="37"/>
        <v>0</v>
      </c>
      <c r="F276" s="160">
        <f t="shared" si="38"/>
        <v>0</v>
      </c>
      <c r="G276" s="160">
        <f t="shared" si="39"/>
        <v>0</v>
      </c>
      <c r="H276" s="160">
        <f t="shared" si="40"/>
        <v>0</v>
      </c>
    </row>
    <row r="277" spans="3:10" x14ac:dyDescent="0.3">
      <c r="C277" s="213" t="s">
        <v>22</v>
      </c>
      <c r="D277" s="207" t="s">
        <v>550</v>
      </c>
      <c r="E277" s="160" t="e">
        <f t="shared" si="37"/>
        <v>#DIV/0!</v>
      </c>
      <c r="F277" s="160" t="e">
        <f t="shared" si="38"/>
        <v>#DIV/0!</v>
      </c>
      <c r="G277" s="160" t="e">
        <f t="shared" si="39"/>
        <v>#DIV/0!</v>
      </c>
      <c r="H277" s="160" t="e">
        <f t="shared" si="40"/>
        <v>#DIV/0!</v>
      </c>
    </row>
    <row r="278" spans="3:10" x14ac:dyDescent="0.3">
      <c r="C278" s="216" t="s">
        <v>54</v>
      </c>
      <c r="D278" s="207" t="s">
        <v>550</v>
      </c>
      <c r="E278" s="200" t="e">
        <f>SUM(E269:E277)</f>
        <v>#DIV/0!</v>
      </c>
      <c r="F278" s="200" t="e">
        <f>SUM(F269:F277)</f>
        <v>#DIV/0!</v>
      </c>
      <c r="G278" s="200" t="e">
        <f>SUM(G269:G277)</f>
        <v>#DIV/0!</v>
      </c>
      <c r="H278" s="200" t="e">
        <f>SUM(H269:H277)</f>
        <v>#DIV/0!</v>
      </c>
      <c r="J278" s="200" t="e">
        <f>SUM(E278:H278)</f>
        <v>#DIV/0!</v>
      </c>
    </row>
    <row r="280" spans="3:10" x14ac:dyDescent="0.3">
      <c r="C280" s="51" t="s">
        <v>537</v>
      </c>
    </row>
    <row r="281" spans="3:10" x14ac:dyDescent="0.3">
      <c r="C281" s="209" t="s">
        <v>14</v>
      </c>
      <c r="D281" s="207" t="s">
        <v>272</v>
      </c>
      <c r="E281" s="159" t="e">
        <f t="shared" ref="E281:H289" si="41">E162*E148</f>
        <v>#DIV/0!</v>
      </c>
      <c r="F281" s="159" t="e">
        <f t="shared" si="41"/>
        <v>#DIV/0!</v>
      </c>
      <c r="G281" s="159" t="e">
        <f t="shared" si="41"/>
        <v>#DIV/0!</v>
      </c>
      <c r="H281" s="159" t="e">
        <f t="shared" si="41"/>
        <v>#DIV/0!</v>
      </c>
    </row>
    <row r="282" spans="3:10" x14ac:dyDescent="0.3">
      <c r="C282" s="213" t="s">
        <v>15</v>
      </c>
      <c r="D282" s="207" t="s">
        <v>272</v>
      </c>
      <c r="E282" s="42">
        <f t="shared" si="41"/>
        <v>0</v>
      </c>
      <c r="F282" s="42">
        <f t="shared" si="41"/>
        <v>0</v>
      </c>
      <c r="G282" s="42">
        <f t="shared" si="41"/>
        <v>0</v>
      </c>
      <c r="H282" s="42">
        <f t="shared" si="41"/>
        <v>0</v>
      </c>
    </row>
    <row r="283" spans="3:10" x14ac:dyDescent="0.3">
      <c r="C283" s="210" t="s">
        <v>16</v>
      </c>
      <c r="D283" s="207" t="s">
        <v>272</v>
      </c>
      <c r="E283" s="42">
        <f t="shared" si="41"/>
        <v>0</v>
      </c>
      <c r="F283" s="42">
        <f t="shared" si="41"/>
        <v>0</v>
      </c>
      <c r="G283" s="42">
        <f t="shared" si="41"/>
        <v>0</v>
      </c>
      <c r="H283" s="42">
        <f t="shared" si="41"/>
        <v>0</v>
      </c>
    </row>
    <row r="284" spans="3:10" x14ac:dyDescent="0.3">
      <c r="C284" s="210" t="s">
        <v>17</v>
      </c>
      <c r="D284" s="207" t="s">
        <v>272</v>
      </c>
      <c r="E284" s="42">
        <f t="shared" si="41"/>
        <v>0</v>
      </c>
      <c r="F284" s="42">
        <f t="shared" si="41"/>
        <v>0</v>
      </c>
      <c r="G284" s="42">
        <f t="shared" si="41"/>
        <v>0</v>
      </c>
      <c r="H284" s="42">
        <f t="shared" si="41"/>
        <v>0</v>
      </c>
    </row>
    <row r="285" spans="3:10" x14ac:dyDescent="0.3">
      <c r="C285" s="210" t="s">
        <v>18</v>
      </c>
      <c r="D285" s="207" t="s">
        <v>272</v>
      </c>
      <c r="E285" s="42">
        <f t="shared" si="41"/>
        <v>0</v>
      </c>
      <c r="F285" s="42">
        <f t="shared" si="41"/>
        <v>0</v>
      </c>
      <c r="G285" s="42">
        <f t="shared" si="41"/>
        <v>0</v>
      </c>
      <c r="H285" s="42">
        <f t="shared" si="41"/>
        <v>0</v>
      </c>
    </row>
    <row r="286" spans="3:10" x14ac:dyDescent="0.3">
      <c r="C286" s="210" t="s">
        <v>19</v>
      </c>
      <c r="D286" s="207" t="s">
        <v>272</v>
      </c>
      <c r="E286" s="42">
        <f t="shared" si="41"/>
        <v>0</v>
      </c>
      <c r="F286" s="42">
        <f t="shared" si="41"/>
        <v>0</v>
      </c>
      <c r="G286" s="42">
        <f t="shared" si="41"/>
        <v>0</v>
      </c>
      <c r="H286" s="42">
        <f t="shared" si="41"/>
        <v>0</v>
      </c>
    </row>
    <row r="287" spans="3:10" x14ac:dyDescent="0.3">
      <c r="C287" s="213" t="s">
        <v>20</v>
      </c>
      <c r="D287" s="207" t="s">
        <v>272</v>
      </c>
      <c r="E287" s="42">
        <f t="shared" si="41"/>
        <v>0</v>
      </c>
      <c r="F287" s="42">
        <f t="shared" si="41"/>
        <v>0</v>
      </c>
      <c r="G287" s="42">
        <f t="shared" si="41"/>
        <v>0</v>
      </c>
      <c r="H287" s="42">
        <f t="shared" si="41"/>
        <v>0</v>
      </c>
    </row>
    <row r="288" spans="3:10" x14ac:dyDescent="0.3">
      <c r="C288" s="213" t="s">
        <v>21</v>
      </c>
      <c r="D288" s="207" t="s">
        <v>272</v>
      </c>
      <c r="E288" s="159">
        <f t="shared" si="41"/>
        <v>0</v>
      </c>
      <c r="F288" s="159">
        <f t="shared" si="41"/>
        <v>0</v>
      </c>
      <c r="G288" s="159">
        <f t="shared" si="41"/>
        <v>0</v>
      </c>
      <c r="H288" s="159">
        <f t="shared" si="41"/>
        <v>0</v>
      </c>
    </row>
    <row r="289" spans="3:10" x14ac:dyDescent="0.3">
      <c r="C289" s="213" t="s">
        <v>22</v>
      </c>
      <c r="D289" s="207" t="s">
        <v>272</v>
      </c>
      <c r="E289" s="159" t="e">
        <f t="shared" si="41"/>
        <v>#DIV/0!</v>
      </c>
      <c r="F289" s="159" t="e">
        <f t="shared" si="41"/>
        <v>#DIV/0!</v>
      </c>
      <c r="G289" s="159" t="e">
        <f t="shared" si="41"/>
        <v>#DIV/0!</v>
      </c>
      <c r="H289" s="159" t="e">
        <f t="shared" si="41"/>
        <v>#DIV/0!</v>
      </c>
    </row>
    <row r="290" spans="3:10" x14ac:dyDescent="0.3">
      <c r="C290" s="102" t="s">
        <v>54</v>
      </c>
      <c r="D290" s="133" t="s">
        <v>272</v>
      </c>
      <c r="E290" s="45" t="e">
        <f>SUM(E281:E289)</f>
        <v>#DIV/0!</v>
      </c>
      <c r="F290" s="45" t="e">
        <f t="shared" ref="F290:H290" si="42">SUM(F281:F289)</f>
        <v>#DIV/0!</v>
      </c>
      <c r="G290" s="45" t="e">
        <f t="shared" si="42"/>
        <v>#DIV/0!</v>
      </c>
      <c r="H290" s="45" t="e">
        <f t="shared" si="42"/>
        <v>#DIV/0!</v>
      </c>
      <c r="J290" s="45" t="e">
        <f>SUM(E290:H290)</f>
        <v>#DIV/0!</v>
      </c>
    </row>
    <row r="292" spans="3:10" x14ac:dyDescent="0.3">
      <c r="C292" s="51" t="s">
        <v>551</v>
      </c>
    </row>
    <row r="293" spans="3:10" x14ac:dyDescent="0.3">
      <c r="C293" s="209" t="s">
        <v>14</v>
      </c>
      <c r="D293" s="207" t="s">
        <v>69</v>
      </c>
      <c r="E293" s="159" t="e">
        <f t="shared" ref="E293:E301" si="43">E162*E148*J$148</f>
        <v>#DIV/0!</v>
      </c>
      <c r="F293" s="159" t="e">
        <f t="shared" ref="F293:F301" si="44">F162*F148*K$148</f>
        <v>#DIV/0!</v>
      </c>
      <c r="G293" s="159" t="e">
        <f t="shared" ref="G293:G301" si="45">G162*G148*L$148</f>
        <v>#DIV/0!</v>
      </c>
      <c r="H293" s="159" t="e">
        <f t="shared" ref="H293:H301" si="46">H162*H148*M$148</f>
        <v>#DIV/0!</v>
      </c>
    </row>
    <row r="294" spans="3:10" x14ac:dyDescent="0.3">
      <c r="C294" s="213" t="s">
        <v>15</v>
      </c>
      <c r="D294" s="207" t="s">
        <v>69</v>
      </c>
      <c r="E294" s="42">
        <f t="shared" si="43"/>
        <v>0</v>
      </c>
      <c r="F294" s="42">
        <f t="shared" si="44"/>
        <v>0</v>
      </c>
      <c r="G294" s="42">
        <f t="shared" si="45"/>
        <v>0</v>
      </c>
      <c r="H294" s="42">
        <f t="shared" si="46"/>
        <v>0</v>
      </c>
    </row>
    <row r="295" spans="3:10" x14ac:dyDescent="0.3">
      <c r="C295" s="210" t="s">
        <v>16</v>
      </c>
      <c r="D295" s="207" t="s">
        <v>69</v>
      </c>
      <c r="E295" s="42">
        <f t="shared" si="43"/>
        <v>0</v>
      </c>
      <c r="F295" s="42">
        <f t="shared" si="44"/>
        <v>0</v>
      </c>
      <c r="G295" s="42">
        <f t="shared" si="45"/>
        <v>0</v>
      </c>
      <c r="H295" s="42">
        <f t="shared" si="46"/>
        <v>0</v>
      </c>
    </row>
    <row r="296" spans="3:10" x14ac:dyDescent="0.3">
      <c r="C296" s="210" t="s">
        <v>17</v>
      </c>
      <c r="D296" s="207" t="s">
        <v>69</v>
      </c>
      <c r="E296" s="42">
        <f t="shared" si="43"/>
        <v>0</v>
      </c>
      <c r="F296" s="42">
        <f t="shared" si="44"/>
        <v>0</v>
      </c>
      <c r="G296" s="42">
        <f t="shared" si="45"/>
        <v>0</v>
      </c>
      <c r="H296" s="42">
        <f t="shared" si="46"/>
        <v>0</v>
      </c>
    </row>
    <row r="297" spans="3:10" x14ac:dyDescent="0.3">
      <c r="C297" s="210" t="s">
        <v>18</v>
      </c>
      <c r="D297" s="207" t="s">
        <v>69</v>
      </c>
      <c r="E297" s="42">
        <f t="shared" si="43"/>
        <v>0</v>
      </c>
      <c r="F297" s="42">
        <f t="shared" si="44"/>
        <v>0</v>
      </c>
      <c r="G297" s="42">
        <f t="shared" si="45"/>
        <v>0</v>
      </c>
      <c r="H297" s="42">
        <f t="shared" si="46"/>
        <v>0</v>
      </c>
    </row>
    <row r="298" spans="3:10" x14ac:dyDescent="0.3">
      <c r="C298" s="210" t="s">
        <v>19</v>
      </c>
      <c r="D298" s="207" t="s">
        <v>69</v>
      </c>
      <c r="E298" s="42">
        <f t="shared" si="43"/>
        <v>0</v>
      </c>
      <c r="F298" s="42">
        <f t="shared" si="44"/>
        <v>0</v>
      </c>
      <c r="G298" s="42">
        <f t="shared" si="45"/>
        <v>0</v>
      </c>
      <c r="H298" s="42">
        <f t="shared" si="46"/>
        <v>0</v>
      </c>
    </row>
    <row r="299" spans="3:10" x14ac:dyDescent="0.3">
      <c r="C299" s="213" t="s">
        <v>20</v>
      </c>
      <c r="D299" s="207" t="s">
        <v>69</v>
      </c>
      <c r="E299" s="42">
        <f t="shared" si="43"/>
        <v>0</v>
      </c>
      <c r="F299" s="42">
        <f t="shared" si="44"/>
        <v>0</v>
      </c>
      <c r="G299" s="42">
        <f t="shared" si="45"/>
        <v>0</v>
      </c>
      <c r="H299" s="42">
        <f t="shared" si="46"/>
        <v>0</v>
      </c>
    </row>
    <row r="300" spans="3:10" x14ac:dyDescent="0.3">
      <c r="C300" s="213" t="s">
        <v>21</v>
      </c>
      <c r="D300" s="207" t="s">
        <v>69</v>
      </c>
      <c r="E300" s="159">
        <f t="shared" si="43"/>
        <v>0</v>
      </c>
      <c r="F300" s="159">
        <f t="shared" si="44"/>
        <v>0</v>
      </c>
      <c r="G300" s="159">
        <f t="shared" si="45"/>
        <v>0</v>
      </c>
      <c r="H300" s="159">
        <f t="shared" si="46"/>
        <v>0</v>
      </c>
    </row>
    <row r="301" spans="3:10" x14ac:dyDescent="0.3">
      <c r="C301" s="213" t="s">
        <v>22</v>
      </c>
      <c r="D301" s="207" t="s">
        <v>69</v>
      </c>
      <c r="E301" s="159" t="e">
        <f t="shared" si="43"/>
        <v>#DIV/0!</v>
      </c>
      <c r="F301" s="159" t="e">
        <f t="shared" si="44"/>
        <v>#DIV/0!</v>
      </c>
      <c r="G301" s="159" t="e">
        <f t="shared" si="45"/>
        <v>#DIV/0!</v>
      </c>
      <c r="H301" s="159" t="e">
        <f t="shared" si="46"/>
        <v>#DIV/0!</v>
      </c>
    </row>
    <row r="302" spans="3:10" x14ac:dyDescent="0.3">
      <c r="C302" s="216" t="s">
        <v>54</v>
      </c>
      <c r="D302" s="207" t="s">
        <v>69</v>
      </c>
      <c r="E302" s="45" t="e">
        <f>SUM(E293:E301)</f>
        <v>#DIV/0!</v>
      </c>
      <c r="F302" s="45" t="e">
        <f>SUM(F293:F301)</f>
        <v>#DIV/0!</v>
      </c>
      <c r="G302" s="45" t="e">
        <f>SUM(G293:G301)</f>
        <v>#DIV/0!</v>
      </c>
      <c r="H302" s="45" t="e">
        <f>SUM(H293:H301)</f>
        <v>#DIV/0!</v>
      </c>
      <c r="J302" s="45" t="e">
        <f>SUM(E302:H302)</f>
        <v>#DIV/0!</v>
      </c>
    </row>
  </sheetData>
  <sheetProtection algorithmName="SHA-512" hashValue="p67LMj65I6zsEql6tw88NleYIt+6gvE2zTCDBEc6LrUN7RJsgRdQ7BkSgp1zmYnI88B4IqRUcxgfqDkQQGVYeQ==" saltValue="fzVf268EiUXHfDx6xpcuuQ==" spinCount="100000" sheet="1" objects="1" scenarios="1"/>
  <mergeCells count="8">
    <mergeCell ref="E160:F160"/>
    <mergeCell ref="G160:H160"/>
    <mergeCell ref="E6:F6"/>
    <mergeCell ref="G6:H6"/>
    <mergeCell ref="E54:F54"/>
    <mergeCell ref="G54:H54"/>
    <mergeCell ref="E99:F99"/>
    <mergeCell ref="G99:H99"/>
  </mergeCells>
  <phoneticPr fontId="21" type="noConversion"/>
  <pageMargins left="0.7" right="0.7" top="0.78740157499999996" bottom="0.78740157499999996"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FBDC6-AE9D-42FB-9A5F-9D4A4BFB06CE}">
  <sheetPr>
    <tabColor rgb="FF0070C0"/>
  </sheetPr>
  <dimension ref="B2:AN293"/>
  <sheetViews>
    <sheetView zoomScaleNormal="100" workbookViewId="0">
      <pane ySplit="7" topLeftCell="A8" activePane="bottomLeft" state="frozen"/>
      <selection activeCell="B1" sqref="B1"/>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35" width="8.85546875" style="17"/>
    <col min="36" max="36" width="11.5703125" style="17" bestFit="1" customWidth="1"/>
    <col min="37" max="16384" width="8.85546875" style="17"/>
  </cols>
  <sheetData>
    <row r="2" spans="2:17" s="16" customFormat="1" ht="17.25" x14ac:dyDescent="0.3">
      <c r="C2" s="16" t="s">
        <v>145</v>
      </c>
      <c r="D2" s="16" t="s">
        <v>146</v>
      </c>
      <c r="L2" s="201"/>
    </row>
    <row r="3" spans="2:17" x14ac:dyDescent="0.3">
      <c r="L3" s="169"/>
    </row>
    <row r="4" spans="2:17" ht="20.25" x14ac:dyDescent="0.35">
      <c r="B4" s="77"/>
      <c r="C4" s="81" t="s">
        <v>666</v>
      </c>
      <c r="D4" s="76"/>
    </row>
    <row r="5" spans="2:17" s="18" customFormat="1" ht="17.25" thickBot="1" x14ac:dyDescent="0.35">
      <c r="B5" s="19" t="s">
        <v>153</v>
      </c>
      <c r="C5" s="19" t="s">
        <v>154</v>
      </c>
      <c r="D5" s="19" t="s">
        <v>32</v>
      </c>
      <c r="E5" s="19" t="s">
        <v>155</v>
      </c>
      <c r="F5" s="19"/>
      <c r="G5" s="19" t="s">
        <v>155</v>
      </c>
      <c r="H5" s="19"/>
      <c r="I5" s="19"/>
      <c r="J5" s="56" t="s">
        <v>156</v>
      </c>
      <c r="K5" s="56"/>
    </row>
    <row r="6" spans="2:17" s="30" customFormat="1" ht="18" thickTop="1" thickBot="1" x14ac:dyDescent="0.35">
      <c r="B6" s="28"/>
      <c r="C6" s="29" t="s">
        <v>157</v>
      </c>
      <c r="D6" s="29"/>
      <c r="E6" s="335" t="s">
        <v>5</v>
      </c>
      <c r="F6" s="335"/>
      <c r="G6" s="335" t="s">
        <v>6</v>
      </c>
      <c r="H6" s="335"/>
      <c r="I6" s="28"/>
      <c r="J6" s="28"/>
      <c r="K6" s="57"/>
      <c r="M6" s="20" t="s">
        <v>667</v>
      </c>
    </row>
    <row r="7" spans="2:17" ht="18" thickTop="1" thickBot="1" x14ac:dyDescent="0.35">
      <c r="B7" s="19"/>
      <c r="C7" s="29" t="s">
        <v>158</v>
      </c>
      <c r="D7" s="29"/>
      <c r="E7" s="29" t="s">
        <v>7</v>
      </c>
      <c r="F7" s="29" t="s">
        <v>8</v>
      </c>
      <c r="G7" s="29" t="s">
        <v>7</v>
      </c>
      <c r="H7" s="29" t="s">
        <v>8</v>
      </c>
      <c r="I7" s="19"/>
      <c r="J7" s="19"/>
      <c r="K7" s="56"/>
      <c r="M7" s="82" t="s">
        <v>668</v>
      </c>
      <c r="N7" s="82" t="s">
        <v>669</v>
      </c>
    </row>
    <row r="8" spans="2:17" ht="17.25" thickTop="1" x14ac:dyDescent="0.3">
      <c r="B8" s="21"/>
      <c r="C8" s="20" t="s">
        <v>670</v>
      </c>
      <c r="D8" s="15" t="s">
        <v>671</v>
      </c>
      <c r="E8" s="54">
        <v>1</v>
      </c>
      <c r="F8" s="54">
        <v>0.2</v>
      </c>
      <c r="G8" s="54">
        <v>1</v>
      </c>
      <c r="H8" s="54">
        <v>0.3</v>
      </c>
      <c r="I8" s="26"/>
      <c r="J8" s="26"/>
      <c r="K8" s="26"/>
      <c r="M8" s="20" t="s">
        <v>672</v>
      </c>
      <c r="N8" s="83">
        <v>0.1</v>
      </c>
      <c r="O8" s="15" t="s">
        <v>671</v>
      </c>
    </row>
    <row r="9" spans="2:17" x14ac:dyDescent="0.3">
      <c r="B9" s="21"/>
      <c r="C9" s="14" t="s">
        <v>673</v>
      </c>
      <c r="D9" s="15" t="s">
        <v>671</v>
      </c>
      <c r="E9" s="86">
        <v>0.15</v>
      </c>
      <c r="F9" s="85">
        <f>E9</f>
        <v>0.15</v>
      </c>
      <c r="G9" s="85">
        <f t="shared" ref="G9:H9" si="0">F9</f>
        <v>0.15</v>
      </c>
      <c r="H9" s="85">
        <f t="shared" si="0"/>
        <v>0.15</v>
      </c>
      <c r="J9" s="6" t="s">
        <v>674</v>
      </c>
      <c r="M9" s="20" t="s">
        <v>675</v>
      </c>
      <c r="N9" s="83">
        <v>0.15</v>
      </c>
      <c r="O9" s="15" t="s">
        <v>671</v>
      </c>
    </row>
    <row r="10" spans="2:17" x14ac:dyDescent="0.3">
      <c r="M10" s="20" t="s">
        <v>676</v>
      </c>
      <c r="N10" s="83">
        <v>0.3</v>
      </c>
      <c r="O10" s="15" t="s">
        <v>671</v>
      </c>
    </row>
    <row r="11" spans="2:17" x14ac:dyDescent="0.3">
      <c r="C11" s="20" t="s">
        <v>677</v>
      </c>
      <c r="D11" s="15" t="s">
        <v>678</v>
      </c>
      <c r="E11" s="85">
        <f>1/E8</f>
        <v>1</v>
      </c>
      <c r="F11" s="85">
        <f t="shared" ref="F11:H12" si="1">1/F8</f>
        <v>5</v>
      </c>
      <c r="G11" s="85">
        <f t="shared" si="1"/>
        <v>1</v>
      </c>
      <c r="H11" s="85">
        <f t="shared" si="1"/>
        <v>3.3333333333333335</v>
      </c>
      <c r="M11" s="20" t="s">
        <v>679</v>
      </c>
      <c r="N11" s="83">
        <v>0.5</v>
      </c>
      <c r="O11" s="15" t="s">
        <v>671</v>
      </c>
    </row>
    <row r="12" spans="2:17" x14ac:dyDescent="0.3">
      <c r="C12" s="20" t="s">
        <v>680</v>
      </c>
      <c r="D12" s="15" t="s">
        <v>678</v>
      </c>
      <c r="E12" s="85">
        <f>1/E9</f>
        <v>6.666666666666667</v>
      </c>
      <c r="F12" s="85">
        <f t="shared" si="1"/>
        <v>6.666666666666667</v>
      </c>
      <c r="G12" s="85">
        <f t="shared" si="1"/>
        <v>6.666666666666667</v>
      </c>
      <c r="H12" s="85">
        <f t="shared" si="1"/>
        <v>6.666666666666667</v>
      </c>
      <c r="M12" s="20" t="s">
        <v>681</v>
      </c>
      <c r="N12" s="83">
        <v>1</v>
      </c>
      <c r="O12" s="15" t="s">
        <v>671</v>
      </c>
    </row>
    <row r="13" spans="2:17" ht="29.25" x14ac:dyDescent="0.3">
      <c r="C13" s="84" t="s">
        <v>682</v>
      </c>
      <c r="D13" s="15" t="s">
        <v>678</v>
      </c>
      <c r="M13" s="20" t="s">
        <v>683</v>
      </c>
      <c r="N13" s="83">
        <v>1.5</v>
      </c>
      <c r="O13" s="15" t="s">
        <v>671</v>
      </c>
    </row>
    <row r="14" spans="2:17" ht="43.5" x14ac:dyDescent="0.3">
      <c r="C14" s="84" t="s">
        <v>684</v>
      </c>
      <c r="D14" s="15" t="s">
        <v>678</v>
      </c>
    </row>
    <row r="15" spans="2:17" x14ac:dyDescent="0.3">
      <c r="C15" s="84" t="s">
        <v>685</v>
      </c>
      <c r="D15" s="15" t="s">
        <v>678</v>
      </c>
      <c r="E15" s="85">
        <f>E12-E11</f>
        <v>5.666666666666667</v>
      </c>
      <c r="F15" s="85">
        <f t="shared" ref="F15:H15" si="2">F12-F11</f>
        <v>1.666666666666667</v>
      </c>
      <c r="G15" s="85">
        <f t="shared" si="2"/>
        <v>5.666666666666667</v>
      </c>
      <c r="H15" s="85">
        <f t="shared" si="2"/>
        <v>3.3333333333333335</v>
      </c>
      <c r="M15" s="20" t="s">
        <v>640</v>
      </c>
    </row>
    <row r="16" spans="2:17" ht="29.25" x14ac:dyDescent="0.3">
      <c r="C16" s="84" t="s">
        <v>686</v>
      </c>
      <c r="D16" s="15" t="s">
        <v>687</v>
      </c>
      <c r="E16" s="87">
        <v>3.5000000000000003E-2</v>
      </c>
      <c r="F16" s="88">
        <f>E16</f>
        <v>3.5000000000000003E-2</v>
      </c>
      <c r="G16" s="88">
        <f t="shared" ref="G16:H16" si="3">F16</f>
        <v>3.5000000000000003E-2</v>
      </c>
      <c r="H16" s="88">
        <f t="shared" si="3"/>
        <v>3.5000000000000003E-2</v>
      </c>
      <c r="M16" s="20" t="s">
        <v>643</v>
      </c>
      <c r="N16" s="20"/>
      <c r="O16" s="89" t="s">
        <v>644</v>
      </c>
      <c r="Q16" s="15" t="s">
        <v>687</v>
      </c>
    </row>
    <row r="17" spans="3:17" x14ac:dyDescent="0.3">
      <c r="C17" s="84" t="s">
        <v>688</v>
      </c>
      <c r="D17" s="15" t="s">
        <v>168</v>
      </c>
      <c r="E17" s="92">
        <f>E15*E16</f>
        <v>0.19833333333333336</v>
      </c>
      <c r="F17" s="92">
        <f>F15*F16</f>
        <v>5.8333333333333348E-2</v>
      </c>
      <c r="G17" s="92">
        <f>G15*G16</f>
        <v>0.19833333333333336</v>
      </c>
      <c r="H17" s="92">
        <f>H15*H16</f>
        <v>0.11666666666666668</v>
      </c>
      <c r="M17" s="20" t="s">
        <v>645</v>
      </c>
      <c r="N17" s="20"/>
      <c r="O17" s="89" t="s">
        <v>646</v>
      </c>
      <c r="Q17" s="15" t="s">
        <v>687</v>
      </c>
    </row>
    <row r="18" spans="3:17" x14ac:dyDescent="0.3">
      <c r="M18" s="20" t="s">
        <v>648</v>
      </c>
      <c r="N18" s="20"/>
      <c r="O18" s="89" t="s">
        <v>644</v>
      </c>
      <c r="Q18" s="15" t="s">
        <v>687</v>
      </c>
    </row>
    <row r="19" spans="3:17" ht="29.25" x14ac:dyDescent="0.3">
      <c r="C19" s="84" t="s">
        <v>689</v>
      </c>
      <c r="D19" s="15" t="s">
        <v>184</v>
      </c>
      <c r="E19" s="90">
        <f>'Model homes'!E32</f>
        <v>20</v>
      </c>
      <c r="M19" s="20" t="s">
        <v>650</v>
      </c>
      <c r="N19" s="20"/>
      <c r="O19" s="89" t="s">
        <v>651</v>
      </c>
      <c r="Q19" s="15" t="s">
        <v>687</v>
      </c>
    </row>
    <row r="20" spans="3:17" ht="29.25" x14ac:dyDescent="0.3">
      <c r="C20" s="84" t="s">
        <v>690</v>
      </c>
      <c r="D20" s="15" t="s">
        <v>184</v>
      </c>
      <c r="E20" s="38">
        <v>2</v>
      </c>
      <c r="M20" s="20" t="s">
        <v>653</v>
      </c>
      <c r="N20" s="20"/>
      <c r="O20" s="89" t="s">
        <v>654</v>
      </c>
      <c r="Q20" s="15" t="s">
        <v>687</v>
      </c>
    </row>
    <row r="21" spans="3:17" x14ac:dyDescent="0.3">
      <c r="C21" s="84" t="s">
        <v>691</v>
      </c>
      <c r="D21" s="84" t="s">
        <v>573</v>
      </c>
      <c r="E21" s="91">
        <f>(E8-E9)*'Model homes'!E20*($E19-$E20)</f>
        <v>1071</v>
      </c>
      <c r="F21" s="91">
        <f>(F8-F9)*'Model homes'!F20*($E19-$E20)</f>
        <v>63.000000000000021</v>
      </c>
      <c r="G21" s="91">
        <f>(G8-G9)*'Model homes'!G20*($E19-$E20)</f>
        <v>2868.75</v>
      </c>
      <c r="H21" s="91">
        <f>(H8-H9)*'Model homes'!H20*($E19-$E20)</f>
        <v>506.25</v>
      </c>
      <c r="M21" s="20" t="s">
        <v>692</v>
      </c>
      <c r="N21" s="20"/>
      <c r="O21" s="89" t="s">
        <v>693</v>
      </c>
      <c r="Q21" s="15" t="s">
        <v>687</v>
      </c>
    </row>
    <row r="22" spans="3:17" x14ac:dyDescent="0.3">
      <c r="C22" s="84" t="s">
        <v>574</v>
      </c>
      <c r="D22" s="84" t="s">
        <v>575</v>
      </c>
      <c r="E22" s="25">
        <v>1700</v>
      </c>
      <c r="F22" s="91">
        <f>E22</f>
        <v>1700</v>
      </c>
      <c r="G22" s="91">
        <f t="shared" ref="G22:H22" si="4">F22</f>
        <v>1700</v>
      </c>
      <c r="H22" s="91">
        <f t="shared" si="4"/>
        <v>1700</v>
      </c>
      <c r="M22" s="20" t="s">
        <v>694</v>
      </c>
      <c r="N22" s="20"/>
      <c r="O22" s="89" t="s">
        <v>695</v>
      </c>
      <c r="Q22" s="15" t="s">
        <v>687</v>
      </c>
    </row>
    <row r="23" spans="3:17" x14ac:dyDescent="0.3">
      <c r="C23" s="84" t="s">
        <v>696</v>
      </c>
      <c r="D23" s="84" t="s">
        <v>191</v>
      </c>
      <c r="E23" s="91">
        <f>E21/1000*E22</f>
        <v>1820.6999999999998</v>
      </c>
      <c r="F23" s="91">
        <f t="shared" ref="F23:H23" si="5">F21/1000*F22</f>
        <v>107.10000000000005</v>
      </c>
      <c r="G23" s="91">
        <f t="shared" si="5"/>
        <v>4876.875</v>
      </c>
      <c r="H23" s="91">
        <f t="shared" si="5"/>
        <v>860.625</v>
      </c>
      <c r="M23" s="20" t="s">
        <v>697</v>
      </c>
      <c r="N23" s="20"/>
      <c r="O23" s="89" t="s">
        <v>693</v>
      </c>
      <c r="Q23" s="15" t="s">
        <v>687</v>
      </c>
    </row>
    <row r="24" spans="3:17" ht="17.25" thickBot="1" x14ac:dyDescent="0.35">
      <c r="C24" s="84"/>
      <c r="D24" s="84"/>
    </row>
    <row r="25" spans="3:17" ht="17.25" thickTop="1" x14ac:dyDescent="0.3">
      <c r="C25" s="27" t="s">
        <v>477</v>
      </c>
      <c r="D25" s="22"/>
      <c r="E25" s="23"/>
      <c r="F25" s="24"/>
    </row>
    <row r="26" spans="3:17" x14ac:dyDescent="0.3">
      <c r="C26" s="20" t="s">
        <v>14</v>
      </c>
      <c r="D26" s="15" t="s">
        <v>191</v>
      </c>
      <c r="E26" s="42">
        <f>E$23/(1-'Model homes'!E$34)/'Model homes'!E38</f>
        <v>2085.567010309278</v>
      </c>
      <c r="F26" s="42">
        <f>F$23/(1-'Model homes'!F$34)/'Model homes'!F38</f>
        <v>116.88311688311693</v>
      </c>
      <c r="G26" s="42">
        <f>G$23/(1-'Model homes'!G$34)/'Model homes'!G38</f>
        <v>5778.9726270885176</v>
      </c>
      <c r="H26" s="42">
        <f>H$23/(1-'Model homes'!H$34)/'Model homes'!H38</f>
        <v>914.7799744897959</v>
      </c>
      <c r="J26" s="26"/>
    </row>
    <row r="27" spans="3:17" x14ac:dyDescent="0.3">
      <c r="C27" s="14" t="s">
        <v>15</v>
      </c>
      <c r="D27" s="15" t="s">
        <v>191</v>
      </c>
      <c r="E27" s="42">
        <f>E$23/(1-'Model homes'!E$34)/'Model homes'!E39</f>
        <v>3112.3076923076919</v>
      </c>
      <c r="F27" s="42">
        <f>F$23/(1-'Model homes'!F$34)/'Model homes'!F39</f>
        <v>163.63636363636371</v>
      </c>
      <c r="G27" s="42">
        <f>G$23/(1-'Model homes'!G$34)/'Model homes'!G39</f>
        <v>8366.5723108594957</v>
      </c>
      <c r="H27" s="42">
        <f>H$23/(1-'Model homes'!H$34)/'Model homes'!H39</f>
        <v>1280.6919642857144</v>
      </c>
      <c r="J27" s="26"/>
    </row>
    <row r="28" spans="3:17" x14ac:dyDescent="0.3">
      <c r="C28" s="15" t="s">
        <v>16</v>
      </c>
      <c r="D28" s="15" t="s">
        <v>191</v>
      </c>
      <c r="E28" s="42">
        <f>E$23/(1-'Model homes'!E$34)/'Model homes'!E40</f>
        <v>2528.7499999999995</v>
      </c>
      <c r="F28" s="42">
        <f>F$23/(1-'Model homes'!F$34)/'Model homes'!F40</f>
        <v>136.36363636363643</v>
      </c>
      <c r="G28" s="42">
        <f>G$23/(1-'Model homes'!G$34)/'Model homes'!G40</f>
        <v>6836.101766190076</v>
      </c>
      <c r="H28" s="42">
        <f>H$23/(1-'Model homes'!H$34)/'Model homes'!H40</f>
        <v>1067.2433035714287</v>
      </c>
      <c r="J28" s="26"/>
    </row>
    <row r="29" spans="3:17" x14ac:dyDescent="0.3">
      <c r="C29" s="15" t="s">
        <v>17</v>
      </c>
      <c r="D29" s="15" t="s">
        <v>191</v>
      </c>
      <c r="E29" s="42">
        <f>E$23/(1-'Model homes'!E$34)/'Model homes'!E41</f>
        <v>3112.3076923076919</v>
      </c>
      <c r="F29" s="42">
        <f>F$23/(1-'Model homes'!F$34)/'Model homes'!F41</f>
        <v>163.63636363636371</v>
      </c>
      <c r="G29" s="42">
        <f>G$23/(1-'Model homes'!G$34)/'Model homes'!G41</f>
        <v>8624.0053050397873</v>
      </c>
      <c r="H29" s="42">
        <f>H$23/(1-'Model homes'!H$34)/'Model homes'!H41</f>
        <v>1280.6919642857144</v>
      </c>
      <c r="J29" s="26"/>
    </row>
    <row r="30" spans="3:17" x14ac:dyDescent="0.3">
      <c r="C30" s="15" t="s">
        <v>18</v>
      </c>
      <c r="D30" s="15" t="s">
        <v>191</v>
      </c>
      <c r="E30" s="42">
        <f>E$23/(1-'Model homes'!E$34)/'Model homes'!E42</f>
        <v>2528.7499999999995</v>
      </c>
      <c r="F30" s="42">
        <f>F$23/(1-'Model homes'!F$34)/'Model homes'!F42</f>
        <v>134.7593582887701</v>
      </c>
      <c r="G30" s="42">
        <f>G$23/(1-'Model homes'!G$34)/'Model homes'!G42</f>
        <v>7007.0043103448279</v>
      </c>
      <c r="H30" s="42">
        <f>H$23/(1-'Model homes'!H$34)/'Model homes'!H42</f>
        <v>1054.6875</v>
      </c>
      <c r="J30" s="26"/>
    </row>
    <row r="31" spans="3:17" x14ac:dyDescent="0.3">
      <c r="C31" s="15" t="s">
        <v>19</v>
      </c>
      <c r="D31" s="15" t="s">
        <v>191</v>
      </c>
      <c r="E31" s="42">
        <f>E$23/(1-'Model homes'!E$34)/'Model homes'!E43</f>
        <v>2528.7499999999995</v>
      </c>
      <c r="F31" s="42">
        <f>F$23/(1-'Model homes'!F$34)/'Model homes'!F43</f>
        <v>133.19238900634255</v>
      </c>
      <c r="G31" s="42">
        <f>G$23/(1-'Model homes'!G$34)/'Model homes'!G43</f>
        <v>7007.0043103448279</v>
      </c>
      <c r="H31" s="42">
        <f>H$23/(1-'Model homes'!H$34)/'Model homes'!H43</f>
        <v>1042.4236918604652</v>
      </c>
      <c r="J31" s="26"/>
    </row>
    <row r="32" spans="3:17" ht="15.95" customHeight="1" x14ac:dyDescent="0.3">
      <c r="C32" s="14" t="s">
        <v>20</v>
      </c>
      <c r="D32" s="15" t="s">
        <v>191</v>
      </c>
      <c r="E32" s="42">
        <f>E$23/(1-'Model homes'!E$34)/'Model homes'!E44</f>
        <v>2380</v>
      </c>
      <c r="F32" s="42">
        <f>F$23/(1-'Model homes'!F$34)/'Model homes'!F44</f>
        <v>131.66144200626965</v>
      </c>
      <c r="G32" s="42">
        <f>G$23/(1-'Model homes'!G$34)/'Model homes'!G44</f>
        <v>6443.2223543400714</v>
      </c>
      <c r="H32" s="42">
        <f>H$23/(1-'Model homes'!H$34)/'Model homes'!H44</f>
        <v>1030.4418103448277</v>
      </c>
      <c r="J32" s="26"/>
    </row>
    <row r="33" spans="2:15" ht="15.95" customHeight="1" x14ac:dyDescent="0.3">
      <c r="C33" s="14" t="s">
        <v>21</v>
      </c>
      <c r="D33" s="15" t="s">
        <v>191</v>
      </c>
      <c r="E33" s="42">
        <f>E$23/(1-'Model homes'!E$34)/'Model homes'!E45</f>
        <v>2022.9999999999998</v>
      </c>
      <c r="F33" s="42">
        <f>F$23/(1-'Model homes'!F$34)/'Model homes'!F45</f>
        <v>114.54545454545459</v>
      </c>
      <c r="G33" s="42">
        <f>G$23/(1-'Model homes'!G$34)/'Model homes'!G45</f>
        <v>5605.6034482758623</v>
      </c>
      <c r="H33" s="42">
        <f>H$23/(1-'Model homes'!H$34)/'Model homes'!H45</f>
        <v>896.484375</v>
      </c>
      <c r="J33" s="17" t="s">
        <v>698</v>
      </c>
      <c r="K33" s="17" t="s">
        <v>479</v>
      </c>
    </row>
    <row r="34" spans="2:15" ht="17.25" thickBot="1" x14ac:dyDescent="0.35">
      <c r="C34" s="14" t="s">
        <v>22</v>
      </c>
      <c r="D34" s="33" t="s">
        <v>191</v>
      </c>
      <c r="E34" s="42">
        <f>E$23/(1-'Model homes'!E$34)/'Model homes'!E46</f>
        <v>698.1050126431652</v>
      </c>
      <c r="F34" s="42">
        <f>F$23/(1-'Model homes'!F$34)/'Model homes'!F46</f>
        <v>35.120482767271071</v>
      </c>
      <c r="G34" s="42">
        <f>G$23/(1-'Model homes'!G$34)/'Model homes'!G46</f>
        <v>1718.7194383798444</v>
      </c>
      <c r="H34" s="42">
        <f>H$23/(1-'Model homes'!H$34)/'Model homes'!H46</f>
        <v>255.39088664076246</v>
      </c>
      <c r="J34" s="202">
        <f>AVERAGE(E26:H34)</f>
        <v>2453.8160376678734</v>
      </c>
      <c r="K34" s="45" t="e">
        <f>AVERAGEIFS($E$26:$H$34,$J$93:$M$101,"yes")</f>
        <v>#DIV/0!</v>
      </c>
    </row>
    <row r="35" spans="2:15" ht="18" thickTop="1" thickBot="1" x14ac:dyDescent="0.35">
      <c r="C35" s="84"/>
      <c r="D35" s="84"/>
      <c r="M35" s="20"/>
      <c r="N35" s="20"/>
      <c r="O35" s="20"/>
    </row>
    <row r="36" spans="2:15" ht="17.25" thickTop="1" x14ac:dyDescent="0.3">
      <c r="C36" s="95" t="s">
        <v>577</v>
      </c>
      <c r="D36" s="22"/>
      <c r="E36" s="23"/>
      <c r="F36" s="24"/>
    </row>
    <row r="37" spans="2:15" x14ac:dyDescent="0.3">
      <c r="C37" s="20" t="s">
        <v>14</v>
      </c>
      <c r="D37" s="15" t="s">
        <v>301</v>
      </c>
      <c r="E37" s="41">
        <f>E26/('Model homes'!E48*'Model homes'!$E$21)</f>
        <v>8.9689655172413785E-2</v>
      </c>
      <c r="F37" s="41">
        <f>F26/('Model homes'!F48*'Model homes'!$E$21)</f>
        <v>1.3909090909090916E-2</v>
      </c>
      <c r="G37" s="41">
        <f>G26/('Model homes'!G48*'Model homes'!G$21)</f>
        <v>6.8447368421052632E-2</v>
      </c>
      <c r="H37" s="41">
        <f>H26/('Model homes'!H48*'Model homes'!H$21)</f>
        <v>2.5500000000000002E-2</v>
      </c>
      <c r="J37" s="26"/>
    </row>
    <row r="38" spans="2:15" x14ac:dyDescent="0.3">
      <c r="C38" s="14" t="s">
        <v>15</v>
      </c>
      <c r="D38" s="15" t="s">
        <v>301</v>
      </c>
      <c r="E38" s="41">
        <f>E27/('Model homes'!E49*'Model homes'!$E$21)</f>
        <v>8.9689655172413799E-2</v>
      </c>
      <c r="F38" s="41">
        <f>F27/('Model homes'!F49*'Model homes'!$E$21)</f>
        <v>1.3909090909090916E-2</v>
      </c>
      <c r="G38" s="41">
        <f>G27/('Model homes'!G49*'Model homes'!G$21)</f>
        <v>6.8447368421052632E-2</v>
      </c>
      <c r="H38" s="41">
        <f>H27/('Model homes'!H49*'Model homes'!H$21)</f>
        <v>2.5500000000000005E-2</v>
      </c>
      <c r="J38" s="26"/>
    </row>
    <row r="39" spans="2:15" x14ac:dyDescent="0.3">
      <c r="C39" s="15" t="s">
        <v>16</v>
      </c>
      <c r="D39" s="15" t="s">
        <v>301</v>
      </c>
      <c r="E39" s="41">
        <f>E28/('Model homes'!E50*'Model homes'!$E$21)</f>
        <v>8.9689655172413785E-2</v>
      </c>
      <c r="F39" s="41">
        <f>F28/('Model homes'!F50*'Model homes'!$E$21)</f>
        <v>1.3909090909090918E-2</v>
      </c>
      <c r="G39" s="41">
        <f>G28/('Model homes'!G50*'Model homes'!G$21)</f>
        <v>6.8447368421052618E-2</v>
      </c>
      <c r="H39" s="41">
        <f>H28/('Model homes'!H50*'Model homes'!H$21)</f>
        <v>2.5500000000000005E-2</v>
      </c>
      <c r="J39" s="26"/>
    </row>
    <row r="40" spans="2:15" x14ac:dyDescent="0.3">
      <c r="C40" s="15" t="s">
        <v>17</v>
      </c>
      <c r="D40" s="15" t="s">
        <v>301</v>
      </c>
      <c r="E40" s="41">
        <f>E29/('Model homes'!E51*'Model homes'!$E$21)</f>
        <v>8.9689655172413799E-2</v>
      </c>
      <c r="F40" s="41">
        <f>F29/('Model homes'!F51*'Model homes'!$E$21)</f>
        <v>1.3909090909090916E-2</v>
      </c>
      <c r="G40" s="41">
        <f>G29/('Model homes'!G51*'Model homes'!G$21)</f>
        <v>6.8447368421052632E-2</v>
      </c>
      <c r="H40" s="41">
        <f>H29/('Model homes'!H51*'Model homes'!H$21)</f>
        <v>2.5500000000000005E-2</v>
      </c>
      <c r="J40" s="26"/>
    </row>
    <row r="41" spans="2:15" x14ac:dyDescent="0.3">
      <c r="C41" s="15" t="s">
        <v>18</v>
      </c>
      <c r="D41" s="15" t="s">
        <v>301</v>
      </c>
      <c r="E41" s="41">
        <f>E30/('Model homes'!E52*'Model homes'!$E$21)</f>
        <v>8.9689655172413785E-2</v>
      </c>
      <c r="F41" s="41">
        <f>F30/('Model homes'!F52*'Model homes'!$E$21)</f>
        <v>1.3909090909090916E-2</v>
      </c>
      <c r="G41" s="41">
        <f>G30/('Model homes'!G52*'Model homes'!G$21)</f>
        <v>6.8447368421052646E-2</v>
      </c>
      <c r="H41" s="41">
        <f>H30/('Model homes'!H52*'Model homes'!H$21)</f>
        <v>2.5499999999999998E-2</v>
      </c>
      <c r="J41" s="26"/>
    </row>
    <row r="42" spans="2:15" x14ac:dyDescent="0.3">
      <c r="C42" s="15" t="s">
        <v>19</v>
      </c>
      <c r="D42" s="15" t="s">
        <v>301</v>
      </c>
      <c r="E42" s="41">
        <f>E31/('Model homes'!E53*'Model homes'!$E$21)</f>
        <v>8.9689655172413785E-2</v>
      </c>
      <c r="F42" s="41">
        <f>F31/('Model homes'!F53*'Model homes'!$E$21)</f>
        <v>1.3909090909090916E-2</v>
      </c>
      <c r="G42" s="41">
        <f>G31/('Model homes'!G53*'Model homes'!G$21)</f>
        <v>6.8447368421052646E-2</v>
      </c>
      <c r="H42" s="41">
        <f>H31/('Model homes'!H53*'Model homes'!H$21)</f>
        <v>2.5500000000000005E-2</v>
      </c>
      <c r="J42" s="26"/>
    </row>
    <row r="43" spans="2:15" ht="15.95" customHeight="1" x14ac:dyDescent="0.3">
      <c r="C43" s="14" t="s">
        <v>20</v>
      </c>
      <c r="D43" s="15" t="s">
        <v>301</v>
      </c>
      <c r="E43" s="41">
        <f>E32/('Model homes'!E54*'Model homes'!$E$21)</f>
        <v>8.9689655172413799E-2</v>
      </c>
      <c r="F43" s="41">
        <f>F32/('Model homes'!F54*'Model homes'!$E$21)</f>
        <v>1.3909090909090916E-2</v>
      </c>
      <c r="G43" s="41">
        <f>G32/('Model homes'!G54*'Model homes'!G$21)</f>
        <v>6.8447368421052618E-2</v>
      </c>
      <c r="H43" s="41">
        <f>H32/('Model homes'!H54*'Model homes'!H$21)</f>
        <v>2.5500000000000002E-2</v>
      </c>
      <c r="J43" s="26"/>
    </row>
    <row r="44" spans="2:15" ht="15.95" customHeight="1" x14ac:dyDescent="0.3">
      <c r="C44" s="14" t="s">
        <v>21</v>
      </c>
      <c r="D44" s="15" t="s">
        <v>301</v>
      </c>
      <c r="E44" s="41">
        <f>E33/('Model homes'!E55*'Model homes'!$E$21)</f>
        <v>8.9689655172413785E-2</v>
      </c>
      <c r="F44" s="41">
        <f>F33/('Model homes'!F55*'Model homes'!$E$21)</f>
        <v>1.3909090909090916E-2</v>
      </c>
      <c r="G44" s="41">
        <f>G33/('Model homes'!G55*'Model homes'!G$21)</f>
        <v>6.8447368421052632E-2</v>
      </c>
      <c r="H44" s="41">
        <f>H33/('Model homes'!H55*'Model homes'!H$21)</f>
        <v>2.5499999999999998E-2</v>
      </c>
      <c r="J44" s="26"/>
    </row>
    <row r="45" spans="2:15" x14ac:dyDescent="0.3">
      <c r="C45" s="14" t="s">
        <v>22</v>
      </c>
      <c r="D45" s="15" t="s">
        <v>301</v>
      </c>
      <c r="E45" s="41">
        <f>E34/('Model homes'!E56*'Model homes'!$E$21)</f>
        <v>8.9689655172413785E-2</v>
      </c>
      <c r="F45" s="41">
        <f>F34/('Model homes'!F56*'Model homes'!$E$21)</f>
        <v>1.3909090909090916E-2</v>
      </c>
      <c r="G45" s="41">
        <f>G34/('Model homes'!G56*'Model homes'!G$21)</f>
        <v>6.8447368421052632E-2</v>
      </c>
      <c r="H45" s="41">
        <f>H34/('Model homes'!H56*'Model homes'!H$21)</f>
        <v>2.5500000000000002E-2</v>
      </c>
      <c r="J45" s="26" t="s">
        <v>39</v>
      </c>
    </row>
    <row r="46" spans="2:15" x14ac:dyDescent="0.3">
      <c r="C46" s="84"/>
      <c r="D46" s="84"/>
    </row>
    <row r="47" spans="2:15" ht="20.25" x14ac:dyDescent="0.35">
      <c r="C47" s="81" t="s">
        <v>578</v>
      </c>
    </row>
    <row r="48" spans="2:15" s="18" customFormat="1" ht="17.25" thickBot="1" x14ac:dyDescent="0.35">
      <c r="B48" s="19" t="s">
        <v>153</v>
      </c>
      <c r="C48" s="19" t="s">
        <v>154</v>
      </c>
      <c r="D48" s="19" t="s">
        <v>32</v>
      </c>
      <c r="E48" s="19" t="s">
        <v>155</v>
      </c>
      <c r="F48" s="19"/>
      <c r="G48" s="19" t="s">
        <v>155</v>
      </c>
      <c r="H48" s="19"/>
      <c r="I48" s="19"/>
      <c r="J48" s="56" t="s">
        <v>156</v>
      </c>
      <c r="K48" s="56"/>
    </row>
    <row r="49" spans="2:14" s="30" customFormat="1" ht="18" thickTop="1" thickBot="1" x14ac:dyDescent="0.35">
      <c r="B49" s="28"/>
      <c r="C49" s="29" t="s">
        <v>157</v>
      </c>
      <c r="D49" s="29"/>
      <c r="E49" s="335" t="s">
        <v>5</v>
      </c>
      <c r="F49" s="335"/>
      <c r="G49" s="335" t="s">
        <v>6</v>
      </c>
      <c r="H49" s="335"/>
      <c r="I49" s="28"/>
      <c r="J49" s="28"/>
      <c r="K49" s="57"/>
      <c r="M49" s="20"/>
    </row>
    <row r="50" spans="2:14" ht="18" thickTop="1" thickBot="1" x14ac:dyDescent="0.35">
      <c r="B50" s="19"/>
      <c r="C50" s="29" t="s">
        <v>158</v>
      </c>
      <c r="D50" s="29"/>
      <c r="E50" s="29" t="s">
        <v>7</v>
      </c>
      <c r="F50" s="29" t="s">
        <v>8</v>
      </c>
      <c r="G50" s="29" t="s">
        <v>7</v>
      </c>
      <c r="H50" s="29" t="s">
        <v>8</v>
      </c>
      <c r="I50" s="19"/>
      <c r="J50" s="19"/>
      <c r="K50" s="56"/>
      <c r="M50" s="82"/>
      <c r="N50" s="82"/>
    </row>
    <row r="51" spans="2:14" ht="17.25" thickTop="1" x14ac:dyDescent="0.3">
      <c r="C51" s="84" t="s">
        <v>699</v>
      </c>
      <c r="D51" s="84" t="s">
        <v>700</v>
      </c>
      <c r="E51" s="38">
        <v>40</v>
      </c>
      <c r="F51" s="38">
        <v>15</v>
      </c>
      <c r="G51" s="38">
        <v>40</v>
      </c>
      <c r="H51" s="38">
        <v>20</v>
      </c>
    </row>
    <row r="52" spans="2:14" x14ac:dyDescent="0.3">
      <c r="C52" s="84" t="s">
        <v>701</v>
      </c>
      <c r="D52" s="84" t="s">
        <v>69</v>
      </c>
      <c r="E52" s="91">
        <f>E51*'Model homes'!E20</f>
        <v>2800</v>
      </c>
      <c r="F52" s="91">
        <f>F51*'Model homes'!F20</f>
        <v>1050</v>
      </c>
      <c r="G52" s="91">
        <f>G51*'Model homes'!G20</f>
        <v>7500</v>
      </c>
      <c r="H52" s="91">
        <f>H51*'Model homes'!H20</f>
        <v>3750</v>
      </c>
    </row>
    <row r="53" spans="2:14" x14ac:dyDescent="0.3">
      <c r="C53" s="84" t="s">
        <v>702</v>
      </c>
      <c r="D53" s="84" t="s">
        <v>703</v>
      </c>
      <c r="E53" s="54">
        <v>0.2</v>
      </c>
      <c r="F53" s="85">
        <f>E53</f>
        <v>0.2</v>
      </c>
      <c r="G53" s="54">
        <v>0.15</v>
      </c>
      <c r="H53" s="85">
        <f t="shared" ref="H53" si="6">G53</f>
        <v>0.15</v>
      </c>
    </row>
    <row r="54" spans="2:14" x14ac:dyDescent="0.3">
      <c r="C54" s="84" t="s">
        <v>704</v>
      </c>
      <c r="D54" s="84" t="s">
        <v>705</v>
      </c>
      <c r="E54" s="90">
        <f>'Model homes'!E20*E53</f>
        <v>14</v>
      </c>
      <c r="F54" s="90">
        <f>'Model homes'!F20*F53</f>
        <v>14</v>
      </c>
      <c r="G54" s="90">
        <f>'Model homes'!G20*G53</f>
        <v>28.125</v>
      </c>
      <c r="H54" s="90">
        <f>'Model homes'!H20*H53</f>
        <v>28.125</v>
      </c>
    </row>
    <row r="55" spans="2:14" x14ac:dyDescent="0.3">
      <c r="C55" s="84" t="s">
        <v>706</v>
      </c>
      <c r="D55" s="84" t="s">
        <v>493</v>
      </c>
      <c r="E55" s="38">
        <v>25</v>
      </c>
      <c r="F55" s="90">
        <f>E55</f>
        <v>25</v>
      </c>
      <c r="G55" s="90">
        <f t="shared" ref="G55:H55" si="7">F55</f>
        <v>25</v>
      </c>
      <c r="H55" s="90">
        <f t="shared" si="7"/>
        <v>25</v>
      </c>
    </row>
    <row r="56" spans="2:14" x14ac:dyDescent="0.3">
      <c r="C56" s="84" t="s">
        <v>707</v>
      </c>
      <c r="D56" s="84" t="s">
        <v>69</v>
      </c>
      <c r="E56" s="91">
        <f>E55*E54</f>
        <v>350</v>
      </c>
      <c r="F56" s="91">
        <f t="shared" ref="F56:H56" si="8">F55*F54</f>
        <v>350</v>
      </c>
      <c r="G56" s="91">
        <f t="shared" si="8"/>
        <v>703.125</v>
      </c>
      <c r="H56" s="91">
        <f t="shared" si="8"/>
        <v>703.125</v>
      </c>
    </row>
    <row r="57" spans="2:14" s="135" customFormat="1" x14ac:dyDescent="0.3">
      <c r="C57" s="133" t="s">
        <v>503</v>
      </c>
      <c r="D57" s="133" t="s">
        <v>69</v>
      </c>
      <c r="E57" s="134">
        <f>E52+E56</f>
        <v>3150</v>
      </c>
      <c r="F57" s="134">
        <f>F52+F56</f>
        <v>1400</v>
      </c>
      <c r="G57" s="134">
        <f>G52+G56</f>
        <v>8203.125</v>
      </c>
      <c r="H57" s="134">
        <f>H52+H56</f>
        <v>4453.125</v>
      </c>
    </row>
    <row r="58" spans="2:14" x14ac:dyDescent="0.3">
      <c r="C58" s="84"/>
      <c r="D58" s="84"/>
      <c r="E58" s="91"/>
      <c r="F58" s="91"/>
      <c r="G58" s="91"/>
      <c r="H58" s="91"/>
    </row>
    <row r="59" spans="2:14" x14ac:dyDescent="0.3">
      <c r="C59" s="84" t="s">
        <v>504</v>
      </c>
      <c r="D59" s="84" t="s">
        <v>505</v>
      </c>
      <c r="E59" s="25">
        <v>0</v>
      </c>
      <c r="F59" s="91">
        <f>E59</f>
        <v>0</v>
      </c>
      <c r="G59" s="91">
        <f t="shared" ref="G59:H59" si="9">F59</f>
        <v>0</v>
      </c>
      <c r="H59" s="91">
        <f t="shared" si="9"/>
        <v>0</v>
      </c>
    </row>
    <row r="60" spans="2:14" x14ac:dyDescent="0.3">
      <c r="C60" s="84" t="s">
        <v>508</v>
      </c>
      <c r="D60" s="84" t="s">
        <v>301</v>
      </c>
      <c r="E60" s="94">
        <f>'Model homes'!E171</f>
        <v>0.02</v>
      </c>
      <c r="F60" s="94"/>
      <c r="G60" s="94"/>
      <c r="H60" s="94"/>
    </row>
    <row r="61" spans="2:14" x14ac:dyDescent="0.3">
      <c r="C61" s="84" t="s">
        <v>509</v>
      </c>
      <c r="D61" s="84" t="s">
        <v>301</v>
      </c>
      <c r="E61" s="63">
        <f>IF($E60=E$63,1,(1-(((1+$E60)/(1+E$63))^E64))/(E63-$E60))</f>
        <v>19.229056279885292</v>
      </c>
      <c r="F61" s="63">
        <f>IF($E60=F$63,1,(1-(((1+$E60)/(1+F$63))^F64))/(F63-$E60))</f>
        <v>19.229056279885292</v>
      </c>
      <c r="G61" s="63">
        <f>IF($E60=G$63,1,(1-(((1+$E60)/(1+G$63))^G64))/(G63-$E60))</f>
        <v>19.229056279885292</v>
      </c>
      <c r="H61" s="63">
        <f>IF($E60=H$63,1,(1-(((1+$E60)/(1+H$63))^H64))/(H63-$E60))</f>
        <v>19.229056279885292</v>
      </c>
    </row>
    <row r="62" spans="2:14" x14ac:dyDescent="0.3">
      <c r="C62" s="84" t="s">
        <v>510</v>
      </c>
      <c r="D62" s="84" t="s">
        <v>505</v>
      </c>
      <c r="E62" s="63">
        <f>-PMT(E63,E64,E59*E61)</f>
        <v>0</v>
      </c>
      <c r="F62" s="63">
        <f>-PMT(F63,F64,F59*F61)</f>
        <v>0</v>
      </c>
      <c r="G62" s="63">
        <f>-PMT(G63,G64,G59*G61)</f>
        <v>0</v>
      </c>
      <c r="H62" s="63">
        <f>-PMT(H63,H64,H59*H61)</f>
        <v>0</v>
      </c>
    </row>
    <row r="63" spans="2:14" x14ac:dyDescent="0.3">
      <c r="C63" s="84" t="s">
        <v>302</v>
      </c>
      <c r="D63" s="84" t="s">
        <v>301</v>
      </c>
      <c r="E63" s="94">
        <f>'Model homes'!$E169</f>
        <v>0.04</v>
      </c>
      <c r="F63" s="94">
        <f>'Model homes'!$E169</f>
        <v>0.04</v>
      </c>
      <c r="G63" s="94">
        <f>'Model homes'!$E169</f>
        <v>0.04</v>
      </c>
      <c r="H63" s="94">
        <f>'Model homes'!$E169</f>
        <v>0.04</v>
      </c>
    </row>
    <row r="64" spans="2:14" x14ac:dyDescent="0.3">
      <c r="C64" s="84" t="s">
        <v>511</v>
      </c>
      <c r="D64" s="84" t="s">
        <v>512</v>
      </c>
      <c r="E64" s="25">
        <v>25</v>
      </c>
      <c r="F64" s="91">
        <f>E64</f>
        <v>25</v>
      </c>
      <c r="G64" s="91">
        <f t="shared" ref="G64:H64" si="10">F64</f>
        <v>25</v>
      </c>
      <c r="H64" s="91">
        <f t="shared" si="10"/>
        <v>25</v>
      </c>
    </row>
    <row r="65" spans="3:12" x14ac:dyDescent="0.3">
      <c r="C65" s="84"/>
      <c r="D65" s="84"/>
      <c r="E65" s="91"/>
      <c r="F65" s="91"/>
      <c r="G65" s="91"/>
      <c r="H65" s="91"/>
    </row>
    <row r="66" spans="3:12" x14ac:dyDescent="0.3">
      <c r="C66" s="51" t="s">
        <v>515</v>
      </c>
      <c r="D66" s="84"/>
      <c r="E66" s="91"/>
      <c r="F66" s="91"/>
      <c r="G66" s="91" t="s">
        <v>708</v>
      </c>
      <c r="H66" s="91"/>
    </row>
    <row r="67" spans="3:12" x14ac:dyDescent="0.3">
      <c r="C67" s="20" t="s">
        <v>14</v>
      </c>
      <c r="D67" s="15" t="s">
        <v>299</v>
      </c>
      <c r="E67" s="42" t="e">
        <f>'Model homes'!E127*E26*10^-3/'Model homes'!E22</f>
        <v>#VALUE!</v>
      </c>
      <c r="F67" s="42" t="e">
        <f>'Model homes'!F127*F26*10^-3/'Model homes'!F22</f>
        <v>#VALUE!</v>
      </c>
      <c r="G67" s="42" t="e">
        <f>'Model homes'!G127*G26*10^-3/'Model homes'!G22</f>
        <v>#VALUE!</v>
      </c>
      <c r="H67" s="42" t="e">
        <f>'Model homes'!H127*H26*10^-3/'Model homes'!H22</f>
        <v>#VALUE!</v>
      </c>
      <c r="J67" s="26" t="s">
        <v>516</v>
      </c>
    </row>
    <row r="68" spans="3:12" x14ac:dyDescent="0.3">
      <c r="C68" s="14" t="s">
        <v>15</v>
      </c>
      <c r="D68" s="15" t="s">
        <v>299</v>
      </c>
      <c r="E68" s="42" t="e">
        <f>'Model homes'!E149*SPH_TL_UC!E38</f>
        <v>#VALUE!</v>
      </c>
      <c r="F68" s="42" t="e">
        <f>'Model homes'!F149*SPH_TL_UC!F38</f>
        <v>#VALUE!</v>
      </c>
      <c r="G68" s="42" t="e">
        <f>'Model homes'!G149*SPH_TL_UC!G38*'Model homes'!G$21/'Model homes'!G$22</f>
        <v>#VALUE!</v>
      </c>
      <c r="H68" s="42" t="e">
        <f>'Model homes'!H149*SPH_TL_UC!H38*'Model homes'!H$21/'Model homes'!H$22</f>
        <v>#VALUE!</v>
      </c>
      <c r="J68" s="26"/>
    </row>
    <row r="69" spans="3:12" x14ac:dyDescent="0.3">
      <c r="C69" s="15" t="s">
        <v>16</v>
      </c>
      <c r="D69" s="15" t="s">
        <v>299</v>
      </c>
      <c r="E69" s="42" t="e">
        <f>'Model homes'!E150*SPH_TL_UC!E39</f>
        <v>#VALUE!</v>
      </c>
      <c r="F69" s="42" t="e">
        <f>'Model homes'!F150*SPH_TL_UC!F39</f>
        <v>#VALUE!</v>
      </c>
      <c r="G69" s="42" t="e">
        <f>'Model homes'!G150*SPH_TL_UC!G39*'Model homes'!G$21/'Model homes'!G$22</f>
        <v>#VALUE!</v>
      </c>
      <c r="H69" s="42" t="e">
        <f>'Model homes'!H150*SPH_TL_UC!H39*'Model homes'!H$21/'Model homes'!H$22</f>
        <v>#VALUE!</v>
      </c>
      <c r="J69" s="26"/>
    </row>
    <row r="70" spans="3:12" x14ac:dyDescent="0.3">
      <c r="C70" s="15" t="s">
        <v>17</v>
      </c>
      <c r="D70" s="15" t="s">
        <v>299</v>
      </c>
      <c r="E70" s="42" t="e">
        <f>'Model homes'!E151*SPH_TL_UC!E40</f>
        <v>#VALUE!</v>
      </c>
      <c r="F70" s="42" t="e">
        <f>'Model homes'!F151*SPH_TL_UC!F40</f>
        <v>#VALUE!</v>
      </c>
      <c r="G70" s="42" t="e">
        <f>'Model homes'!G151*SPH_TL_UC!G40*'Model homes'!G$21/'Model homes'!G$22</f>
        <v>#VALUE!</v>
      </c>
      <c r="H70" s="42" t="e">
        <f>'Model homes'!H151*SPH_TL_UC!H40*'Model homes'!H$21/'Model homes'!H$22</f>
        <v>#VALUE!</v>
      </c>
      <c r="J70" s="26"/>
    </row>
    <row r="71" spans="3:12" x14ac:dyDescent="0.3">
      <c r="C71" s="15" t="s">
        <v>18</v>
      </c>
      <c r="D71" s="15" t="s">
        <v>299</v>
      </c>
      <c r="E71" s="42" t="e">
        <f>'Model homes'!E152*SPH_TL_UC!E41</f>
        <v>#VALUE!</v>
      </c>
      <c r="F71" s="42" t="e">
        <f>'Model homes'!F152*SPH_TL_UC!F41</f>
        <v>#VALUE!</v>
      </c>
      <c r="G71" s="42" t="e">
        <f>'Model homes'!G152*SPH_TL_UC!G41*'Model homes'!G$21/'Model homes'!G$22</f>
        <v>#VALUE!</v>
      </c>
      <c r="H71" s="42" t="e">
        <f>'Model homes'!H152*SPH_TL_UC!H41*'Model homes'!H$21/'Model homes'!H$22</f>
        <v>#VALUE!</v>
      </c>
      <c r="J71" s="26"/>
    </row>
    <row r="72" spans="3:12" x14ac:dyDescent="0.3">
      <c r="C72" s="15" t="s">
        <v>19</v>
      </c>
      <c r="D72" s="15" t="s">
        <v>299</v>
      </c>
      <c r="E72" s="42" t="e">
        <f>'Model homes'!E153*SPH_TL_UC!E42</f>
        <v>#VALUE!</v>
      </c>
      <c r="F72" s="42" t="e">
        <f>'Model homes'!F153*SPH_TL_UC!F42</f>
        <v>#VALUE!</v>
      </c>
      <c r="G72" s="42" t="e">
        <f>'Model homes'!G153*SPH_TL_UC!G42*'Model homes'!G$21/'Model homes'!G$22</f>
        <v>#VALUE!</v>
      </c>
      <c r="H72" s="42" t="e">
        <f>'Model homes'!H153*SPH_TL_UC!H42*'Model homes'!H$21/'Model homes'!H$22</f>
        <v>#VALUE!</v>
      </c>
      <c r="J72" s="26"/>
    </row>
    <row r="73" spans="3:12" ht="15.95" customHeight="1" x14ac:dyDescent="0.3">
      <c r="C73" s="14" t="s">
        <v>20</v>
      </c>
      <c r="D73" s="15" t="s">
        <v>299</v>
      </c>
      <c r="E73" s="42" t="e">
        <f>'Model homes'!E154*SPH_TL_UC!E43</f>
        <v>#VALUE!</v>
      </c>
      <c r="F73" s="42" t="e">
        <f>'Model homes'!F154*SPH_TL_UC!F43</f>
        <v>#VALUE!</v>
      </c>
      <c r="G73" s="42" t="e">
        <f>'Model homes'!G154*SPH_TL_UC!G43*'Model homes'!G$21/'Model homes'!G$22</f>
        <v>#VALUE!</v>
      </c>
      <c r="H73" s="42" t="e">
        <f>'Model homes'!H154*SPH_TL_UC!H43*'Model homes'!H$21/'Model homes'!H$22</f>
        <v>#VALUE!</v>
      </c>
      <c r="J73" s="26"/>
    </row>
    <row r="74" spans="3:12" ht="15.95" customHeight="1" x14ac:dyDescent="0.3">
      <c r="C74" s="14" t="s">
        <v>21</v>
      </c>
      <c r="D74" s="15" t="s">
        <v>299</v>
      </c>
      <c r="E74" s="42" t="e">
        <f>'Model homes'!E155*SPH_TL_UC!E44</f>
        <v>#VALUE!</v>
      </c>
      <c r="F74" s="42" t="e">
        <f>'Model homes'!F155*SPH_TL_UC!F44</f>
        <v>#VALUE!</v>
      </c>
      <c r="G74" s="42" t="e">
        <f>'Model homes'!G155*SPH_TL_UC!G44*'Model homes'!G$21/'Model homes'!G$22</f>
        <v>#VALUE!</v>
      </c>
      <c r="H74" s="42" t="e">
        <f>'Model homes'!H155*SPH_TL_UC!H44*'Model homes'!H$21/'Model homes'!H$22</f>
        <v>#VALUE!</v>
      </c>
      <c r="J74" s="26"/>
      <c r="K74" s="17" t="s">
        <v>478</v>
      </c>
      <c r="L74" s="17" t="s">
        <v>479</v>
      </c>
    </row>
    <row r="75" spans="3:12" x14ac:dyDescent="0.3">
      <c r="C75" s="14" t="s">
        <v>22</v>
      </c>
      <c r="D75" s="15" t="s">
        <v>299</v>
      </c>
      <c r="E75" s="42" t="e">
        <f>'Model homes'!E156*SPH_TL_UC!E45</f>
        <v>#VALUE!</v>
      </c>
      <c r="F75" s="42" t="e">
        <f>'Model homes'!F156*SPH_TL_UC!F45</f>
        <v>#VALUE!</v>
      </c>
      <c r="G75" s="42" t="e">
        <f>'Model homes'!G156*SPH_TL_UC!G45*'Model homes'!G$21/'Model homes'!G$22</f>
        <v>#VALUE!</v>
      </c>
      <c r="H75" s="42" t="e">
        <f>'Model homes'!H156*SPH_TL_UC!H45*'Model homes'!H$21/'Model homes'!H$22</f>
        <v>#VALUE!</v>
      </c>
      <c r="J75" s="45" t="e">
        <f>ROUND(MIN(E67:H75),0)&amp;" - "&amp;ROUND(MAX(E67:H75),0)</f>
        <v>#VALUE!</v>
      </c>
      <c r="K75" s="142" t="e">
        <f>AVERAGE(E67:H75)</f>
        <v>#VALUE!</v>
      </c>
      <c r="L75" s="45" t="e">
        <f>AVERAGEIFS($E$67:$H$75,$J$93:$M$101,"yes")</f>
        <v>#DIV/0!</v>
      </c>
    </row>
    <row r="76" spans="3:12" x14ac:dyDescent="0.3">
      <c r="C76" s="20"/>
      <c r="D76" s="15"/>
      <c r="E76" s="42"/>
      <c r="F76" s="55"/>
      <c r="G76" s="42"/>
      <c r="H76" s="42"/>
      <c r="J76" s="26"/>
    </row>
    <row r="77" spans="3:12" x14ac:dyDescent="0.3">
      <c r="C77" s="51" t="s">
        <v>517</v>
      </c>
      <c r="D77" s="84"/>
      <c r="E77" s="91"/>
      <c r="F77" s="91"/>
      <c r="G77" s="91" t="s">
        <v>708</v>
      </c>
      <c r="H77" s="91"/>
      <c r="J77" s="51" t="s">
        <v>509</v>
      </c>
    </row>
    <row r="78" spans="3:12" x14ac:dyDescent="0.3">
      <c r="C78" s="20" t="s">
        <v>14</v>
      </c>
      <c r="D78" s="15" t="s">
        <v>299</v>
      </c>
      <c r="E78" s="55" t="e">
        <f>-PMT(E$63,E$64,E67*$J78)</f>
        <v>#VALUE!</v>
      </c>
      <c r="F78" s="55" t="e">
        <f t="shared" ref="F78:G78" si="11">-PMT(F$63,F$64,F67*$J78)</f>
        <v>#VALUE!</v>
      </c>
      <c r="G78" s="55" t="e">
        <f t="shared" si="11"/>
        <v>#VALUE!</v>
      </c>
      <c r="H78" s="55" t="e">
        <f>-PMT(H$63,H$64,H67*$J78)</f>
        <v>#VALUE!</v>
      </c>
      <c r="J78" s="63">
        <f>(1-(((1+'Model homes'!$E159)/(1+E$63))^E$64))/(E$63-'Model homes'!$E159)</f>
        <v>20.303627885319141</v>
      </c>
    </row>
    <row r="79" spans="3:12" x14ac:dyDescent="0.3">
      <c r="C79" s="14" t="s">
        <v>15</v>
      </c>
      <c r="D79" s="15" t="s">
        <v>299</v>
      </c>
      <c r="E79" s="55" t="e">
        <f t="shared" ref="E79:H86" si="12">-PMT(E$63,E$64,E68*$J79)</f>
        <v>#VALUE!</v>
      </c>
      <c r="F79" s="55" t="e">
        <f t="shared" si="12"/>
        <v>#VALUE!</v>
      </c>
      <c r="G79" s="55" t="e">
        <f t="shared" si="12"/>
        <v>#VALUE!</v>
      </c>
      <c r="H79" s="55" t="e">
        <f t="shared" si="12"/>
        <v>#VALUE!</v>
      </c>
      <c r="J79" s="63">
        <f>(1-(((1+'Model homes'!$E160)/(1+E$63))^E$64))/(E$63-'Model homes'!$E160)</f>
        <v>19.229056279885292</v>
      </c>
    </row>
    <row r="80" spans="3:12" x14ac:dyDescent="0.3">
      <c r="C80" s="15" t="s">
        <v>16</v>
      </c>
      <c r="D80" s="15" t="s">
        <v>299</v>
      </c>
      <c r="E80" s="55" t="e">
        <f t="shared" si="12"/>
        <v>#VALUE!</v>
      </c>
      <c r="F80" s="55" t="e">
        <f t="shared" si="12"/>
        <v>#VALUE!</v>
      </c>
      <c r="G80" s="55" t="e">
        <f t="shared" si="12"/>
        <v>#VALUE!</v>
      </c>
      <c r="H80" s="55" t="e">
        <f t="shared" si="12"/>
        <v>#VALUE!</v>
      </c>
      <c r="J80" s="63">
        <f>(1-(((1+'Model homes'!$E161)/(1+E$63))^E$64))/(E$63-'Model homes'!$E161)</f>
        <v>20.303627885319141</v>
      </c>
    </row>
    <row r="81" spans="2:14" x14ac:dyDescent="0.3">
      <c r="C81" s="15" t="s">
        <v>17</v>
      </c>
      <c r="D81" s="15" t="s">
        <v>299</v>
      </c>
      <c r="E81" s="55" t="e">
        <f t="shared" si="12"/>
        <v>#VALUE!</v>
      </c>
      <c r="F81" s="55" t="e">
        <f t="shared" si="12"/>
        <v>#VALUE!</v>
      </c>
      <c r="G81" s="55" t="e">
        <f t="shared" si="12"/>
        <v>#VALUE!</v>
      </c>
      <c r="H81" s="55" t="e">
        <f t="shared" si="12"/>
        <v>#VALUE!</v>
      </c>
      <c r="J81" s="63">
        <f>(1-(((1+'Model homes'!$E162)/(1+E$63))^E$64))/(E$63-'Model homes'!$E162)</f>
        <v>20.303627885319141</v>
      </c>
    </row>
    <row r="82" spans="2:14" x14ac:dyDescent="0.3">
      <c r="C82" s="15" t="s">
        <v>18</v>
      </c>
      <c r="D82" s="15" t="s">
        <v>299</v>
      </c>
      <c r="E82" s="55" t="e">
        <f t="shared" si="12"/>
        <v>#VALUE!</v>
      </c>
      <c r="F82" s="55" t="e">
        <f t="shared" si="12"/>
        <v>#VALUE!</v>
      </c>
      <c r="G82" s="55" t="e">
        <f t="shared" si="12"/>
        <v>#VALUE!</v>
      </c>
      <c r="H82" s="55" t="e">
        <f t="shared" si="12"/>
        <v>#VALUE!</v>
      </c>
      <c r="J82" s="63">
        <f>(1-(((1+'Model homes'!$E163)/(1+E$63))^E$64))/(E$63-'Model homes'!$E163)</f>
        <v>20.303627885319141</v>
      </c>
    </row>
    <row r="83" spans="2:14" x14ac:dyDescent="0.3">
      <c r="C83" s="15" t="s">
        <v>19</v>
      </c>
      <c r="D83" s="15" t="s">
        <v>299</v>
      </c>
      <c r="E83" s="55" t="e">
        <f t="shared" si="12"/>
        <v>#VALUE!</v>
      </c>
      <c r="F83" s="55" t="e">
        <f t="shared" si="12"/>
        <v>#VALUE!</v>
      </c>
      <c r="G83" s="55" t="e">
        <f t="shared" si="12"/>
        <v>#VALUE!</v>
      </c>
      <c r="H83" s="55" t="e">
        <f t="shared" si="12"/>
        <v>#VALUE!</v>
      </c>
      <c r="J83" s="63">
        <f>(1-(((1+'Model homes'!$E164)/(1+E$63))^E$64))/(E$63-'Model homes'!$E164)</f>
        <v>20.303627885319141</v>
      </c>
    </row>
    <row r="84" spans="2:14" ht="15.95" customHeight="1" x14ac:dyDescent="0.3">
      <c r="C84" s="14" t="s">
        <v>20</v>
      </c>
      <c r="D84" s="15" t="s">
        <v>299</v>
      </c>
      <c r="E84" s="55" t="e">
        <f t="shared" si="12"/>
        <v>#VALUE!</v>
      </c>
      <c r="F84" s="55" t="e">
        <f t="shared" si="12"/>
        <v>#VALUE!</v>
      </c>
      <c r="G84" s="55" t="e">
        <f t="shared" si="12"/>
        <v>#VALUE!</v>
      </c>
      <c r="H84" s="55" t="e">
        <f t="shared" si="12"/>
        <v>#VALUE!</v>
      </c>
      <c r="J84" s="63">
        <f>(1-(((1+'Model homes'!$E165)/(1+E$63))^E$64))/(E$63-'Model homes'!$E165)</f>
        <v>21.221058703962093</v>
      </c>
    </row>
    <row r="85" spans="2:14" ht="15.95" customHeight="1" x14ac:dyDescent="0.3">
      <c r="C85" s="14" t="s">
        <v>21</v>
      </c>
      <c r="D85" s="15" t="s">
        <v>299</v>
      </c>
      <c r="E85" s="55" t="e">
        <f t="shared" si="12"/>
        <v>#VALUE!</v>
      </c>
      <c r="F85" s="55" t="e">
        <f t="shared" si="12"/>
        <v>#VALUE!</v>
      </c>
      <c r="G85" s="55" t="e">
        <f t="shared" si="12"/>
        <v>#VALUE!</v>
      </c>
      <c r="H85" s="55" t="e">
        <f t="shared" si="12"/>
        <v>#VALUE!</v>
      </c>
      <c r="J85" s="63">
        <f>(1-(((1+'Model homes'!$E166)/(1+E$63))^E$64))/(E$63-'Model homes'!$E166)</f>
        <v>20.303627885319141</v>
      </c>
    </row>
    <row r="86" spans="2:14" x14ac:dyDescent="0.3">
      <c r="C86" s="14" t="s">
        <v>22</v>
      </c>
      <c r="D86" s="15" t="s">
        <v>299</v>
      </c>
      <c r="E86" s="55" t="e">
        <f t="shared" si="12"/>
        <v>#VALUE!</v>
      </c>
      <c r="F86" s="55" t="e">
        <f t="shared" si="12"/>
        <v>#VALUE!</v>
      </c>
      <c r="G86" s="55" t="e">
        <f t="shared" si="12"/>
        <v>#VALUE!</v>
      </c>
      <c r="H86" s="55" t="e">
        <f t="shared" si="12"/>
        <v>#VALUE!</v>
      </c>
      <c r="J86" s="63">
        <f>(1-(((1+'Model homes'!$E167)/(1+E$63))^E$64))/(E$63-'Model homes'!$E167)</f>
        <v>20.303627885319141</v>
      </c>
    </row>
    <row r="87" spans="2:14" x14ac:dyDescent="0.3">
      <c r="C87" s="20"/>
      <c r="D87" s="15"/>
      <c r="E87" s="42"/>
      <c r="F87" s="55"/>
      <c r="G87" s="42"/>
      <c r="H87" s="42"/>
      <c r="J87" s="26"/>
    </row>
    <row r="88" spans="2:14" ht="20.25" x14ac:dyDescent="0.35">
      <c r="C88" s="81" t="s">
        <v>518</v>
      </c>
      <c r="D88" s="46"/>
      <c r="E88" s="55"/>
      <c r="F88" s="55"/>
      <c r="G88" s="55"/>
      <c r="H88" s="55"/>
      <c r="J88" s="26"/>
    </row>
    <row r="89" spans="2:14" s="18" customFormat="1" ht="17.25" thickBot="1" x14ac:dyDescent="0.35">
      <c r="B89" s="19" t="s">
        <v>153</v>
      </c>
      <c r="C89" s="19" t="s">
        <v>154</v>
      </c>
      <c r="D89" s="19" t="s">
        <v>32</v>
      </c>
      <c r="E89" s="19" t="s">
        <v>155</v>
      </c>
      <c r="F89" s="19"/>
      <c r="G89" s="19" t="s">
        <v>155</v>
      </c>
      <c r="H89" s="19"/>
      <c r="I89" s="19"/>
      <c r="J89" s="56" t="s">
        <v>156</v>
      </c>
      <c r="K89" s="56"/>
    </row>
    <row r="90" spans="2:14" s="30" customFormat="1" ht="18" thickTop="1" thickBot="1" x14ac:dyDescent="0.35">
      <c r="B90" s="28"/>
      <c r="C90" s="29" t="s">
        <v>157</v>
      </c>
      <c r="D90" s="29"/>
      <c r="E90" s="335" t="s">
        <v>5</v>
      </c>
      <c r="F90" s="335"/>
      <c r="G90" s="335" t="s">
        <v>6</v>
      </c>
      <c r="H90" s="335"/>
      <c r="I90" s="28"/>
      <c r="J90" s="28"/>
      <c r="K90" s="57"/>
      <c r="M90" s="20"/>
    </row>
    <row r="91" spans="2:14" ht="18" thickTop="1" thickBot="1" x14ac:dyDescent="0.35">
      <c r="B91" s="19"/>
      <c r="C91" s="29" t="s">
        <v>158</v>
      </c>
      <c r="D91" s="29"/>
      <c r="E91" s="29" t="s">
        <v>7</v>
      </c>
      <c r="F91" s="29" t="s">
        <v>8</v>
      </c>
      <c r="G91" s="29" t="s">
        <v>7</v>
      </c>
      <c r="H91" s="29" t="s">
        <v>8</v>
      </c>
      <c r="I91" s="19"/>
      <c r="J91" s="19"/>
      <c r="K91" s="56"/>
      <c r="M91" s="82"/>
      <c r="N91" s="82"/>
    </row>
    <row r="92" spans="2:14" ht="17.25" thickTop="1" x14ac:dyDescent="0.3">
      <c r="C92" s="51" t="s">
        <v>519</v>
      </c>
      <c r="D92" s="84"/>
      <c r="E92" s="90"/>
      <c r="F92" s="90"/>
      <c r="G92" s="90"/>
      <c r="H92" s="90"/>
      <c r="J92" s="20" t="s">
        <v>520</v>
      </c>
    </row>
    <row r="93" spans="2:14" x14ac:dyDescent="0.3">
      <c r="C93" s="20" t="s">
        <v>14</v>
      </c>
      <c r="D93" s="84" t="s">
        <v>512</v>
      </c>
      <c r="E93" s="42" t="e">
        <f>E$57/'Model homes'!E$22/(E67-E$59)</f>
        <v>#VALUE!</v>
      </c>
      <c r="F93" s="42" t="e">
        <f>F$57/'Model homes'!F$22/(F67-F$59)</f>
        <v>#VALUE!</v>
      </c>
      <c r="G93" s="42" t="e">
        <f>G$57/'Model homes'!G$22/(G67-G$59)</f>
        <v>#VALUE!</v>
      </c>
      <c r="H93" s="42" t="e">
        <f>H$57/'Model homes'!H$22/(H67-H$59)</f>
        <v>#VALUE!</v>
      </c>
      <c r="J93" s="42" t="e">
        <f t="shared" ref="J93:J101" si="13">IF(E93&lt;E$64,"yes","no")</f>
        <v>#VALUE!</v>
      </c>
      <c r="K93" s="42" t="e">
        <f t="shared" ref="K93:K101" si="14">IF(F93&lt;F$64,"yes","no")</f>
        <v>#VALUE!</v>
      </c>
      <c r="L93" s="42" t="e">
        <f t="shared" ref="L93:L101" si="15">IF(G93&lt;G$64,"yes","no")</f>
        <v>#VALUE!</v>
      </c>
      <c r="M93" s="42" t="e">
        <f t="shared" ref="M93:M101" si="16">IF(H93&lt;H$64,"yes","no")</f>
        <v>#VALUE!</v>
      </c>
    </row>
    <row r="94" spans="2:14" x14ac:dyDescent="0.3">
      <c r="C94" s="14" t="s">
        <v>15</v>
      </c>
      <c r="D94" s="84" t="s">
        <v>512</v>
      </c>
      <c r="E94" s="42" t="e">
        <f>E$57/'Model homes'!E$22/(E68-E$59)</f>
        <v>#VALUE!</v>
      </c>
      <c r="F94" s="42" t="e">
        <f>F$57/'Model homes'!F$22/(F68-F$59)</f>
        <v>#VALUE!</v>
      </c>
      <c r="G94" s="42" t="e">
        <f>G$57/'Model homes'!G$22/(G68-G$59)</f>
        <v>#VALUE!</v>
      </c>
      <c r="H94" s="42" t="e">
        <f>H$57/'Model homes'!H$22/(H68-H$59)</f>
        <v>#VALUE!</v>
      </c>
      <c r="J94" s="42" t="e">
        <f t="shared" si="13"/>
        <v>#VALUE!</v>
      </c>
      <c r="K94" s="42" t="e">
        <f t="shared" si="14"/>
        <v>#VALUE!</v>
      </c>
      <c r="L94" s="42" t="e">
        <f t="shared" si="15"/>
        <v>#VALUE!</v>
      </c>
      <c r="M94" s="42" t="e">
        <f t="shared" si="16"/>
        <v>#VALUE!</v>
      </c>
    </row>
    <row r="95" spans="2:14" x14ac:dyDescent="0.3">
      <c r="C95" s="15" t="s">
        <v>16</v>
      </c>
      <c r="D95" s="84" t="s">
        <v>512</v>
      </c>
      <c r="E95" s="42" t="e">
        <f>E$57/'Model homes'!E$22/(E69-E$59)</f>
        <v>#VALUE!</v>
      </c>
      <c r="F95" s="42" t="e">
        <f>F$57/'Model homes'!F$22/(F69-F$59)</f>
        <v>#VALUE!</v>
      </c>
      <c r="G95" s="42" t="e">
        <f>G$57/'Model homes'!G$22/(G69-G$59)</f>
        <v>#VALUE!</v>
      </c>
      <c r="H95" s="42" t="e">
        <f>H$57/'Model homes'!H$22/(H69-H$59)</f>
        <v>#VALUE!</v>
      </c>
      <c r="J95" s="42" t="e">
        <f t="shared" si="13"/>
        <v>#VALUE!</v>
      </c>
      <c r="K95" s="42" t="e">
        <f t="shared" si="14"/>
        <v>#VALUE!</v>
      </c>
      <c r="L95" s="42" t="e">
        <f t="shared" si="15"/>
        <v>#VALUE!</v>
      </c>
      <c r="M95" s="42" t="e">
        <f t="shared" si="16"/>
        <v>#VALUE!</v>
      </c>
    </row>
    <row r="96" spans="2:14" x14ac:dyDescent="0.3">
      <c r="C96" s="15" t="s">
        <v>17</v>
      </c>
      <c r="D96" s="84" t="s">
        <v>512</v>
      </c>
      <c r="E96" s="42" t="e">
        <f>E$57/'Model homes'!E$22/(E70-E$59)</f>
        <v>#VALUE!</v>
      </c>
      <c r="F96" s="42" t="e">
        <f>F$57/'Model homes'!F$22/(F70-F$59)</f>
        <v>#VALUE!</v>
      </c>
      <c r="G96" s="42" t="e">
        <f>G$57/'Model homes'!G$22/(G70-G$59)</f>
        <v>#VALUE!</v>
      </c>
      <c r="H96" s="42" t="e">
        <f>H$57/'Model homes'!H$22/(H70-H$59)</f>
        <v>#VALUE!</v>
      </c>
      <c r="J96" s="42" t="e">
        <f t="shared" si="13"/>
        <v>#VALUE!</v>
      </c>
      <c r="K96" s="42" t="e">
        <f t="shared" si="14"/>
        <v>#VALUE!</v>
      </c>
      <c r="L96" s="42" t="e">
        <f t="shared" si="15"/>
        <v>#VALUE!</v>
      </c>
      <c r="M96" s="42" t="e">
        <f t="shared" si="16"/>
        <v>#VALUE!</v>
      </c>
    </row>
    <row r="97" spans="3:16" x14ac:dyDescent="0.3">
      <c r="C97" s="15" t="s">
        <v>18</v>
      </c>
      <c r="D97" s="84" t="s">
        <v>512</v>
      </c>
      <c r="E97" s="42" t="e">
        <f>E$57/'Model homes'!E$22/(E71-E$59)</f>
        <v>#VALUE!</v>
      </c>
      <c r="F97" s="42" t="e">
        <f>F$57/'Model homes'!F$22/(F71-F$59)</f>
        <v>#VALUE!</v>
      </c>
      <c r="G97" s="42" t="e">
        <f>G$57/'Model homes'!G$22/(G71-G$59)</f>
        <v>#VALUE!</v>
      </c>
      <c r="H97" s="42" t="e">
        <f>H$57/'Model homes'!H$22/(H71-H$59)</f>
        <v>#VALUE!</v>
      </c>
      <c r="J97" s="42" t="e">
        <f t="shared" si="13"/>
        <v>#VALUE!</v>
      </c>
      <c r="K97" s="42" t="e">
        <f t="shared" si="14"/>
        <v>#VALUE!</v>
      </c>
      <c r="L97" s="42" t="e">
        <f t="shared" si="15"/>
        <v>#VALUE!</v>
      </c>
      <c r="M97" s="42" t="e">
        <f t="shared" si="16"/>
        <v>#VALUE!</v>
      </c>
    </row>
    <row r="98" spans="3:16" x14ac:dyDescent="0.3">
      <c r="C98" s="15" t="s">
        <v>19</v>
      </c>
      <c r="D98" s="84" t="s">
        <v>512</v>
      </c>
      <c r="E98" s="42" t="e">
        <f>E$57/'Model homes'!E$22/(E72-E$59)</f>
        <v>#VALUE!</v>
      </c>
      <c r="F98" s="42" t="e">
        <f>F$57/'Model homes'!F$22/(F72-F$59)</f>
        <v>#VALUE!</v>
      </c>
      <c r="G98" s="42" t="e">
        <f>G$57/'Model homes'!G$22/(G72-G$59)</f>
        <v>#VALUE!</v>
      </c>
      <c r="H98" s="42" t="e">
        <f>H$57/'Model homes'!H$22/(H72-H$59)</f>
        <v>#VALUE!</v>
      </c>
      <c r="J98" s="42" t="e">
        <f t="shared" si="13"/>
        <v>#VALUE!</v>
      </c>
      <c r="K98" s="42" t="e">
        <f t="shared" si="14"/>
        <v>#VALUE!</v>
      </c>
      <c r="L98" s="42" t="e">
        <f t="shared" si="15"/>
        <v>#VALUE!</v>
      </c>
      <c r="M98" s="42" t="e">
        <f t="shared" si="16"/>
        <v>#VALUE!</v>
      </c>
      <c r="O98" s="142"/>
    </row>
    <row r="99" spans="3:16" ht="15.95" customHeight="1" x14ac:dyDescent="0.3">
      <c r="C99" s="14" t="s">
        <v>20</v>
      </c>
      <c r="D99" s="84" t="s">
        <v>512</v>
      </c>
      <c r="E99" s="42" t="e">
        <f>E$57/'Model homes'!E$22/(E73-E$59)</f>
        <v>#VALUE!</v>
      </c>
      <c r="F99" s="42" t="e">
        <f>F$57/'Model homes'!F$22/(F73-F$59)</f>
        <v>#VALUE!</v>
      </c>
      <c r="G99" s="42" t="e">
        <f>G$57/'Model homes'!G$22/(G73-G$59)</f>
        <v>#VALUE!</v>
      </c>
      <c r="H99" s="42" t="e">
        <f>H$57/'Model homes'!H$22/(H73-H$59)</f>
        <v>#VALUE!</v>
      </c>
      <c r="J99" s="42" t="e">
        <f t="shared" si="13"/>
        <v>#VALUE!</v>
      </c>
      <c r="K99" s="42" t="e">
        <f t="shared" si="14"/>
        <v>#VALUE!</v>
      </c>
      <c r="L99" s="42" t="e">
        <f t="shared" si="15"/>
        <v>#VALUE!</v>
      </c>
      <c r="M99" s="42" t="e">
        <f t="shared" si="16"/>
        <v>#VALUE!</v>
      </c>
    </row>
    <row r="100" spans="3:16" ht="15.95" customHeight="1" x14ac:dyDescent="0.3">
      <c r="C100" s="14" t="s">
        <v>21</v>
      </c>
      <c r="D100" s="84" t="s">
        <v>512</v>
      </c>
      <c r="E100" s="42" t="e">
        <f>E$57/'Model homes'!E$22/(E74-E$59)</f>
        <v>#VALUE!</v>
      </c>
      <c r="F100" s="42" t="e">
        <f>F$57/'Model homes'!F$22/(F74-F$59)</f>
        <v>#VALUE!</v>
      </c>
      <c r="G100" s="42" t="e">
        <f>G$57/'Model homes'!G$22/(G74-G$59)</f>
        <v>#VALUE!</v>
      </c>
      <c r="H100" s="42" t="e">
        <f>H$57/'Model homes'!H$22/(H74-H$59)</f>
        <v>#VALUE!</v>
      </c>
      <c r="J100" s="42" t="e">
        <f t="shared" si="13"/>
        <v>#VALUE!</v>
      </c>
      <c r="K100" s="42" t="e">
        <f t="shared" si="14"/>
        <v>#VALUE!</v>
      </c>
      <c r="L100" s="42" t="e">
        <f t="shared" si="15"/>
        <v>#VALUE!</v>
      </c>
      <c r="M100" s="42" t="e">
        <f t="shared" si="16"/>
        <v>#VALUE!</v>
      </c>
      <c r="O100" s="17" t="s">
        <v>7</v>
      </c>
      <c r="P100" s="17" t="s">
        <v>8</v>
      </c>
    </row>
    <row r="101" spans="3:16" x14ac:dyDescent="0.3">
      <c r="C101" s="14" t="s">
        <v>22</v>
      </c>
      <c r="D101" s="84" t="s">
        <v>512</v>
      </c>
      <c r="E101" s="42" t="e">
        <f>E$57/'Model homes'!E$22/(E75-E$59)</f>
        <v>#VALUE!</v>
      </c>
      <c r="F101" s="42" t="e">
        <f>F$57/'Model homes'!F$22/(F75-F$59)</f>
        <v>#VALUE!</v>
      </c>
      <c r="G101" s="42" t="e">
        <f>G$57/'Model homes'!G$22/(G75-G$59)</f>
        <v>#VALUE!</v>
      </c>
      <c r="H101" s="42" t="e">
        <f>H$57/'Model homes'!H$22/(H75-H$59)</f>
        <v>#VALUE!</v>
      </c>
      <c r="J101" s="42" t="e">
        <f t="shared" si="13"/>
        <v>#VALUE!</v>
      </c>
      <c r="K101" s="42" t="e">
        <f t="shared" si="14"/>
        <v>#VALUE!</v>
      </c>
      <c r="L101" s="42" t="e">
        <f t="shared" si="15"/>
        <v>#VALUE!</v>
      </c>
      <c r="M101" s="42" t="e">
        <f t="shared" si="16"/>
        <v>#VALUE!</v>
      </c>
      <c r="O101" s="17" t="str">
        <f>IF((COUNTIF(J93:J101,"yes")+COUNTIF(L93:L101,"yes"))&gt;=(COUNTIF(J93:J101,"no")+COUNTIF(L93:L101,"no")),"yes","no")</f>
        <v>yes</v>
      </c>
      <c r="P101" s="17" t="str">
        <f>IF((COUNTIF(K93:K101,"yes")+COUNTIF(M93:M101,"yes"))&gt;=(COUNTIF(K93:K101,"no")+COUNTIF(M93:M101,"no")),"yes","no")</f>
        <v>yes</v>
      </c>
    </row>
    <row r="102" spans="3:16" x14ac:dyDescent="0.3">
      <c r="C102" s="20"/>
      <c r="D102" s="96"/>
      <c r="E102" s="55"/>
      <c r="F102" s="55"/>
      <c r="G102" s="55"/>
      <c r="H102" s="55"/>
      <c r="J102" s="26"/>
    </row>
    <row r="103" spans="3:16" x14ac:dyDescent="0.3">
      <c r="C103" s="51" t="s">
        <v>521</v>
      </c>
      <c r="D103" s="84"/>
      <c r="E103" s="90"/>
      <c r="F103" s="90"/>
      <c r="G103" s="90"/>
      <c r="H103" s="90"/>
      <c r="J103" s="20" t="s">
        <v>520</v>
      </c>
    </row>
    <row r="104" spans="3:16" x14ac:dyDescent="0.3">
      <c r="C104" s="20" t="s">
        <v>14</v>
      </c>
      <c r="D104" s="84" t="s">
        <v>512</v>
      </c>
      <c r="E104" s="42" t="e">
        <f>(E$57/'Model homes'!E$22)/(E78-E$62)</f>
        <v>#VALUE!</v>
      </c>
      <c r="F104" s="42" t="e">
        <f>(F$57/'Model homes'!F$22)/(F78-F$62)</f>
        <v>#VALUE!</v>
      </c>
      <c r="G104" s="42" t="e">
        <f>(G$57/'Model homes'!G$22)/(G78-G$62)</f>
        <v>#VALUE!</v>
      </c>
      <c r="H104" s="42" t="e">
        <f>(H$57/'Model homes'!H$22)/(H78-H$62)</f>
        <v>#VALUE!</v>
      </c>
      <c r="J104" s="42" t="e">
        <f t="shared" ref="J104:J112" si="17">IF(E104&lt;E$64,"yes","no")</f>
        <v>#VALUE!</v>
      </c>
      <c r="K104" s="42" t="e">
        <f t="shared" ref="K104:K112" si="18">IF(F104&lt;F$64,"yes","no")</f>
        <v>#VALUE!</v>
      </c>
      <c r="L104" s="42" t="e">
        <f t="shared" ref="L104:L112" si="19">IF(G104&lt;G$64,"yes","no")</f>
        <v>#VALUE!</v>
      </c>
      <c r="M104" s="42" t="e">
        <f t="shared" ref="M104:M112" si="20">IF(H104&lt;H$64,"yes","no")</f>
        <v>#VALUE!</v>
      </c>
    </row>
    <row r="105" spans="3:16" x14ac:dyDescent="0.3">
      <c r="C105" s="14" t="s">
        <v>15</v>
      </c>
      <c r="D105" s="84" t="s">
        <v>512</v>
      </c>
      <c r="E105" s="42" t="e">
        <f>(E$57/'Model homes'!E$22)/(E79-E$62)</f>
        <v>#VALUE!</v>
      </c>
      <c r="F105" s="42" t="e">
        <f>(F$57/'Model homes'!F$22)/(F79-F$62)</f>
        <v>#VALUE!</v>
      </c>
      <c r="G105" s="42" t="e">
        <f>(G$57/'Model homes'!G$22)/(G79-G$62)</f>
        <v>#VALUE!</v>
      </c>
      <c r="H105" s="42" t="e">
        <f>(H$57/'Model homes'!H$22)/(H79-H$62)</f>
        <v>#VALUE!</v>
      </c>
      <c r="J105" s="42" t="e">
        <f t="shared" si="17"/>
        <v>#VALUE!</v>
      </c>
      <c r="K105" s="42" t="e">
        <f t="shared" si="18"/>
        <v>#VALUE!</v>
      </c>
      <c r="L105" s="42" t="e">
        <f t="shared" si="19"/>
        <v>#VALUE!</v>
      </c>
      <c r="M105" s="42" t="e">
        <f t="shared" si="20"/>
        <v>#VALUE!</v>
      </c>
    </row>
    <row r="106" spans="3:16" x14ac:dyDescent="0.3">
      <c r="C106" s="15" t="s">
        <v>16</v>
      </c>
      <c r="D106" s="84" t="s">
        <v>512</v>
      </c>
      <c r="E106" s="42" t="e">
        <f>(E$57/'Model homes'!E$22)/(E80-E$62)</f>
        <v>#VALUE!</v>
      </c>
      <c r="F106" s="42" t="e">
        <f>(F$57/'Model homes'!F$22)/(F80-F$62)</f>
        <v>#VALUE!</v>
      </c>
      <c r="G106" s="42" t="e">
        <f>(G$57/'Model homes'!G$22)/(G80-G$62)</f>
        <v>#VALUE!</v>
      </c>
      <c r="H106" s="42" t="e">
        <f>(H$57/'Model homes'!H$22)/(H80-H$62)</f>
        <v>#VALUE!</v>
      </c>
      <c r="J106" s="42" t="e">
        <f t="shared" si="17"/>
        <v>#VALUE!</v>
      </c>
      <c r="K106" s="42" t="e">
        <f t="shared" si="18"/>
        <v>#VALUE!</v>
      </c>
      <c r="L106" s="42" t="e">
        <f t="shared" si="19"/>
        <v>#VALUE!</v>
      </c>
      <c r="M106" s="42" t="e">
        <f t="shared" si="20"/>
        <v>#VALUE!</v>
      </c>
    </row>
    <row r="107" spans="3:16" x14ac:dyDescent="0.3">
      <c r="C107" s="15" t="s">
        <v>17</v>
      </c>
      <c r="D107" s="84" t="s">
        <v>512</v>
      </c>
      <c r="E107" s="42" t="e">
        <f>(E$57/'Model homes'!E$22)/(E81-E$62)</f>
        <v>#VALUE!</v>
      </c>
      <c r="F107" s="42" t="e">
        <f>(F$57/'Model homes'!F$22)/(F81-F$62)</f>
        <v>#VALUE!</v>
      </c>
      <c r="G107" s="42" t="e">
        <f>(G$57/'Model homes'!G$22)/(G81-G$62)</f>
        <v>#VALUE!</v>
      </c>
      <c r="H107" s="42" t="e">
        <f>(H$57/'Model homes'!H$22)/(H81-H$62)</f>
        <v>#VALUE!</v>
      </c>
      <c r="J107" s="42" t="e">
        <f t="shared" si="17"/>
        <v>#VALUE!</v>
      </c>
      <c r="K107" s="42" t="e">
        <f t="shared" si="18"/>
        <v>#VALUE!</v>
      </c>
      <c r="L107" s="42" t="e">
        <f t="shared" si="19"/>
        <v>#VALUE!</v>
      </c>
      <c r="M107" s="42" t="e">
        <f t="shared" si="20"/>
        <v>#VALUE!</v>
      </c>
    </row>
    <row r="108" spans="3:16" x14ac:dyDescent="0.3">
      <c r="C108" s="15" t="s">
        <v>18</v>
      </c>
      <c r="D108" s="84" t="s">
        <v>512</v>
      </c>
      <c r="E108" s="42" t="e">
        <f>(E$57/'Model homes'!E$22)/(E82-E$62)</f>
        <v>#VALUE!</v>
      </c>
      <c r="F108" s="42" t="e">
        <f>(F$57/'Model homes'!F$22)/(F82-F$62)</f>
        <v>#VALUE!</v>
      </c>
      <c r="G108" s="42" t="e">
        <f>(G$57/'Model homes'!G$22)/(G82-G$62)</f>
        <v>#VALUE!</v>
      </c>
      <c r="H108" s="42" t="e">
        <f>(H$57/'Model homes'!H$22)/(H82-H$62)</f>
        <v>#VALUE!</v>
      </c>
      <c r="J108" s="42" t="e">
        <f t="shared" si="17"/>
        <v>#VALUE!</v>
      </c>
      <c r="K108" s="42" t="e">
        <f t="shared" si="18"/>
        <v>#VALUE!</v>
      </c>
      <c r="L108" s="42" t="e">
        <f t="shared" si="19"/>
        <v>#VALUE!</v>
      </c>
      <c r="M108" s="42" t="e">
        <f t="shared" si="20"/>
        <v>#VALUE!</v>
      </c>
    </row>
    <row r="109" spans="3:16" x14ac:dyDescent="0.3">
      <c r="C109" s="15" t="s">
        <v>19</v>
      </c>
      <c r="D109" s="84" t="s">
        <v>512</v>
      </c>
      <c r="E109" s="42" t="e">
        <f>(E$57/'Model homes'!E$22)/(E83-E$62)</f>
        <v>#VALUE!</v>
      </c>
      <c r="F109" s="42" t="e">
        <f>(F$57/'Model homes'!F$22)/(F83-F$62)</f>
        <v>#VALUE!</v>
      </c>
      <c r="G109" s="42" t="e">
        <f>(G$57/'Model homes'!G$22)/(G83-G$62)</f>
        <v>#VALUE!</v>
      </c>
      <c r="H109" s="42" t="e">
        <f>(H$57/'Model homes'!H$22)/(H83-H$62)</f>
        <v>#VALUE!</v>
      </c>
      <c r="J109" s="42" t="e">
        <f t="shared" si="17"/>
        <v>#VALUE!</v>
      </c>
      <c r="K109" s="42" t="e">
        <f t="shared" si="18"/>
        <v>#VALUE!</v>
      </c>
      <c r="L109" s="42" t="e">
        <f t="shared" si="19"/>
        <v>#VALUE!</v>
      </c>
      <c r="M109" s="42" t="e">
        <f t="shared" si="20"/>
        <v>#VALUE!</v>
      </c>
    </row>
    <row r="110" spans="3:16" ht="15.95" customHeight="1" x14ac:dyDescent="0.3">
      <c r="C110" s="14" t="s">
        <v>20</v>
      </c>
      <c r="D110" s="84" t="s">
        <v>512</v>
      </c>
      <c r="E110" s="42" t="e">
        <f>(E$57/'Model homes'!E$22)/(E84-E$62)</f>
        <v>#VALUE!</v>
      </c>
      <c r="F110" s="42" t="e">
        <f>(F$57/'Model homes'!F$22)/(F84-F$62)</f>
        <v>#VALUE!</v>
      </c>
      <c r="G110" s="42" t="e">
        <f>(G$57/'Model homes'!G$22)/(G84-G$62)</f>
        <v>#VALUE!</v>
      </c>
      <c r="H110" s="42" t="e">
        <f>(H$57/'Model homes'!H$22)/(H84-H$62)</f>
        <v>#VALUE!</v>
      </c>
      <c r="J110" s="42" t="e">
        <f t="shared" si="17"/>
        <v>#VALUE!</v>
      </c>
      <c r="K110" s="42" t="e">
        <f t="shared" si="18"/>
        <v>#VALUE!</v>
      </c>
      <c r="L110" s="42" t="e">
        <f t="shared" si="19"/>
        <v>#VALUE!</v>
      </c>
      <c r="M110" s="42" t="e">
        <f t="shared" si="20"/>
        <v>#VALUE!</v>
      </c>
    </row>
    <row r="111" spans="3:16" ht="15.95" customHeight="1" x14ac:dyDescent="0.3">
      <c r="C111" s="14" t="s">
        <v>21</v>
      </c>
      <c r="D111" s="84" t="s">
        <v>512</v>
      </c>
      <c r="E111" s="42" t="e">
        <f>(E$57/'Model homes'!E$22)/(E85-E$62)</f>
        <v>#VALUE!</v>
      </c>
      <c r="F111" s="42" t="e">
        <f>(F$57/'Model homes'!F$22)/(F85-F$62)</f>
        <v>#VALUE!</v>
      </c>
      <c r="G111" s="42" t="e">
        <f>(G$57/'Model homes'!G$22)/(G85-G$62)</f>
        <v>#VALUE!</v>
      </c>
      <c r="H111" s="42" t="e">
        <f>(H$57/'Model homes'!H$22)/(H85-H$62)</f>
        <v>#VALUE!</v>
      </c>
      <c r="J111" s="42" t="e">
        <f t="shared" si="17"/>
        <v>#VALUE!</v>
      </c>
      <c r="K111" s="42" t="e">
        <f t="shared" si="18"/>
        <v>#VALUE!</v>
      </c>
      <c r="L111" s="42" t="e">
        <f t="shared" si="19"/>
        <v>#VALUE!</v>
      </c>
      <c r="M111" s="42" t="e">
        <f t="shared" si="20"/>
        <v>#VALUE!</v>
      </c>
    </row>
    <row r="112" spans="3:16" x14ac:dyDescent="0.3">
      <c r="C112" s="14" t="s">
        <v>22</v>
      </c>
      <c r="D112" s="84" t="s">
        <v>512</v>
      </c>
      <c r="E112" s="42" t="e">
        <f>(E$57/'Model homes'!E$22)/(E86-E$62)</f>
        <v>#VALUE!</v>
      </c>
      <c r="F112" s="42" t="e">
        <f>(F$57/'Model homes'!F$22)/(F86-F$62)</f>
        <v>#VALUE!</v>
      </c>
      <c r="G112" s="42" t="e">
        <f>(G$57/'Model homes'!G$22)/(G86-G$62)</f>
        <v>#VALUE!</v>
      </c>
      <c r="H112" s="42" t="e">
        <f>(H$57/'Model homes'!H$22)/(H86-H$62)</f>
        <v>#VALUE!</v>
      </c>
      <c r="J112" s="42" t="e">
        <f t="shared" si="17"/>
        <v>#VALUE!</v>
      </c>
      <c r="K112" s="42" t="e">
        <f t="shared" si="18"/>
        <v>#VALUE!</v>
      </c>
      <c r="L112" s="42" t="e">
        <f t="shared" si="19"/>
        <v>#VALUE!</v>
      </c>
      <c r="M112" s="42" t="e">
        <f t="shared" si="20"/>
        <v>#VALUE!</v>
      </c>
    </row>
    <row r="114" spans="3:40" x14ac:dyDescent="0.3">
      <c r="C114" s="51" t="s">
        <v>522</v>
      </c>
      <c r="D114" s="84"/>
      <c r="E114" s="90"/>
      <c r="F114" s="90"/>
      <c r="G114" s="90"/>
      <c r="H114" s="90"/>
      <c r="J114" s="51" t="s">
        <v>523</v>
      </c>
      <c r="R114" s="51" t="s">
        <v>524</v>
      </c>
      <c r="Z114" s="51" t="s">
        <v>525</v>
      </c>
      <c r="AH114" s="51" t="s">
        <v>526</v>
      </c>
    </row>
    <row r="115" spans="3:40" ht="29.25" x14ac:dyDescent="0.3">
      <c r="C115" s="20" t="s">
        <v>14</v>
      </c>
      <c r="D115" s="84" t="s">
        <v>527</v>
      </c>
      <c r="E115" s="97" t="e">
        <f>E26*'Model homes'!$J110*10^-6</f>
        <v>#VALUE!</v>
      </c>
      <c r="F115" s="97" t="e">
        <f>F26*'Model homes'!$J110*10^-6</f>
        <v>#VALUE!</v>
      </c>
      <c r="G115" s="97" t="e">
        <f>G26*'Model homes'!$J110*10^-6</f>
        <v>#VALUE!</v>
      </c>
      <c r="H115" s="97" t="e">
        <f>H26*'Model homes'!$J110*10^-6</f>
        <v>#VALUE!</v>
      </c>
      <c r="J115" s="20" t="s">
        <v>14</v>
      </c>
      <c r="L115" s="84" t="s">
        <v>528</v>
      </c>
      <c r="M115" s="130" t="e">
        <f>'Model homes'!$E274*E26*10^-6</f>
        <v>#DIV/0!</v>
      </c>
      <c r="N115" s="130" t="e">
        <f>'Model homes'!$E274*F26*10^-6</f>
        <v>#DIV/0!</v>
      </c>
      <c r="O115" s="130" t="e">
        <f>'Model homes'!$E274*G26*10^-6</f>
        <v>#DIV/0!</v>
      </c>
      <c r="P115" s="130" t="e">
        <f>'Model homes'!$E274*H26*10^-6</f>
        <v>#DIV/0!</v>
      </c>
      <c r="R115" s="20" t="s">
        <v>14</v>
      </c>
      <c r="T115" s="84" t="s">
        <v>529</v>
      </c>
      <c r="U115" s="130" t="e">
        <f>'Model homes'!$F274*E26*10^-6</f>
        <v>#DIV/0!</v>
      </c>
      <c r="V115" s="130" t="e">
        <f>'Model homes'!$F274*F26*10^-6</f>
        <v>#DIV/0!</v>
      </c>
      <c r="W115" s="130" t="e">
        <f>'Model homes'!$F274*G26*10^-6</f>
        <v>#DIV/0!</v>
      </c>
      <c r="X115" s="130" t="e">
        <f>'Model homes'!$F274*H26*10^-6</f>
        <v>#DIV/0!</v>
      </c>
      <c r="Z115" s="20" t="s">
        <v>14</v>
      </c>
      <c r="AB115" s="84" t="s">
        <v>530</v>
      </c>
      <c r="AC115" s="130" t="e">
        <f>'Model homes'!$G274*E26*10^-6</f>
        <v>#DIV/0!</v>
      </c>
      <c r="AD115" s="130" t="e">
        <f>'Model homes'!$G274*F26*10^-6</f>
        <v>#DIV/0!</v>
      </c>
      <c r="AE115" s="130" t="e">
        <f>'Model homes'!$G274*G26*10^-6</f>
        <v>#DIV/0!</v>
      </c>
      <c r="AF115" s="130" t="e">
        <f>'Model homes'!$G274*H26*10^-6</f>
        <v>#DIV/0!</v>
      </c>
      <c r="AH115" s="20" t="s">
        <v>14</v>
      </c>
      <c r="AJ115" s="84" t="s">
        <v>531</v>
      </c>
      <c r="AK115" s="130" t="e">
        <f>'Model homes'!$H274*E26*10^-6</f>
        <v>#DIV/0!</v>
      </c>
      <c r="AL115" s="130" t="e">
        <f>'Model homes'!$H274*F26*10^-6</f>
        <v>#DIV/0!</v>
      </c>
      <c r="AM115" s="130" t="e">
        <f>'Model homes'!$H274*G26*10^-6</f>
        <v>#DIV/0!</v>
      </c>
      <c r="AN115" s="130" t="e">
        <f>'Model homes'!$H274*H26*10^-6</f>
        <v>#DIV/0!</v>
      </c>
    </row>
    <row r="116" spans="3:40" ht="29.25" x14ac:dyDescent="0.3">
      <c r="C116" s="14" t="s">
        <v>15</v>
      </c>
      <c r="D116" s="84" t="s">
        <v>527</v>
      </c>
      <c r="E116" s="97">
        <f>E27*'Model homes'!$J111*10^-6</f>
        <v>0</v>
      </c>
      <c r="F116" s="97">
        <f>F27*'Model homes'!$J111*10^-6</f>
        <v>0</v>
      </c>
      <c r="G116" s="97">
        <f>G27*'Model homes'!$J111*10^-6</f>
        <v>0</v>
      </c>
      <c r="H116" s="97">
        <f>H27*'Model homes'!$J111*10^-6</f>
        <v>0</v>
      </c>
      <c r="J116" s="14" t="s">
        <v>15</v>
      </c>
      <c r="L116" s="84" t="s">
        <v>528</v>
      </c>
      <c r="M116" s="130">
        <f>'Model homes'!$E275*E27*10^-6</f>
        <v>6.2246153846153834E-5</v>
      </c>
      <c r="N116" s="130">
        <f>'Model homes'!$E275*F27*10^-6</f>
        <v>3.2727272727272742E-6</v>
      </c>
      <c r="O116" s="130">
        <f>'Model homes'!$E275*G27*10^-6</f>
        <v>1.6733144621718991E-4</v>
      </c>
      <c r="P116" s="130">
        <f>'Model homes'!$E275*H27*10^-6</f>
        <v>2.5613839285714288E-5</v>
      </c>
      <c r="R116" s="14" t="s">
        <v>15</v>
      </c>
      <c r="T116" s="84" t="s">
        <v>529</v>
      </c>
      <c r="U116" s="130">
        <f>'Model homes'!$F275*E27*10^-6</f>
        <v>9.6481538461538441E-4</v>
      </c>
      <c r="V116" s="130">
        <f>'Model homes'!$F275*F27*10^-6</f>
        <v>5.0727272727272742E-5</v>
      </c>
      <c r="W116" s="130">
        <f>'Model homes'!$F275*G27*10^-6</f>
        <v>2.5936374163664437E-3</v>
      </c>
      <c r="X116" s="130">
        <f>'Model homes'!$F275*H27*10^-6</f>
        <v>3.9701450892857149E-4</v>
      </c>
      <c r="Z116" s="14" t="s">
        <v>15</v>
      </c>
      <c r="AB116" s="84" t="s">
        <v>530</v>
      </c>
      <c r="AC116" s="130">
        <f>'Model homes'!$G275*E27*10^-6</f>
        <v>2.1786153846153845E-4</v>
      </c>
      <c r="AD116" s="130">
        <f>'Model homes'!$G275*F27*10^-6</f>
        <v>1.1454545454545461E-5</v>
      </c>
      <c r="AE116" s="130">
        <f>'Model homes'!$G275*G27*10^-6</f>
        <v>5.856600617601648E-4</v>
      </c>
      <c r="AF116" s="130">
        <f>'Model homes'!$G275*H27*10^-6</f>
        <v>8.9648437500000006E-5</v>
      </c>
      <c r="AH116" s="14" t="s">
        <v>15</v>
      </c>
      <c r="AJ116" s="84" t="s">
        <v>531</v>
      </c>
      <c r="AK116" s="130">
        <f>'Model homes'!$H275*E27*10^-6</f>
        <v>3.1123076923076917E-5</v>
      </c>
      <c r="AL116" s="130">
        <f>'Model homes'!$H275*F27*10^-6</f>
        <v>1.6363636363636371E-6</v>
      </c>
      <c r="AM116" s="130">
        <f>'Model homes'!$H275*G27*10^-6</f>
        <v>8.3665723108594954E-5</v>
      </c>
      <c r="AN116" s="130">
        <f>'Model homes'!$H275*H27*10^-6</f>
        <v>1.2806919642857144E-5</v>
      </c>
    </row>
    <row r="117" spans="3:40" ht="29.25" x14ac:dyDescent="0.3">
      <c r="C117" s="15" t="s">
        <v>16</v>
      </c>
      <c r="D117" s="84" t="s">
        <v>527</v>
      </c>
      <c r="E117" s="97">
        <f>E28*'Model homes'!$J112*10^-6</f>
        <v>0</v>
      </c>
      <c r="F117" s="97">
        <f>F28*'Model homes'!$J112*10^-6</f>
        <v>0</v>
      </c>
      <c r="G117" s="97">
        <f>G28*'Model homes'!$J112*10^-6</f>
        <v>0</v>
      </c>
      <c r="H117" s="97">
        <f>H28*'Model homes'!$J112*10^-6</f>
        <v>0</v>
      </c>
      <c r="J117" s="15" t="s">
        <v>16</v>
      </c>
      <c r="L117" s="84" t="s">
        <v>528</v>
      </c>
      <c r="M117" s="130">
        <f>'Model homes'!$E276*E28*10^-6</f>
        <v>5.0574999999999989E-5</v>
      </c>
      <c r="N117" s="130">
        <f>'Model homes'!$E276*F28*10^-6</f>
        <v>2.7272727272727289E-6</v>
      </c>
      <c r="O117" s="130">
        <f>'Model homes'!$E276*G28*10^-6</f>
        <v>1.3672203532380151E-4</v>
      </c>
      <c r="P117" s="130">
        <f>'Model homes'!$E276*H28*10^-6</f>
        <v>2.1344866071428571E-5</v>
      </c>
      <c r="R117" s="15" t="s">
        <v>16</v>
      </c>
      <c r="T117" s="84" t="s">
        <v>529</v>
      </c>
      <c r="U117" s="130">
        <f>'Model homes'!$F276*E28*10^-6</f>
        <v>7.8391249999999984E-4</v>
      </c>
      <c r="V117" s="130">
        <f>'Model homes'!$F276*F28*10^-6</f>
        <v>4.2272727272727296E-5</v>
      </c>
      <c r="W117" s="130">
        <f>'Model homes'!$F276*G28*10^-6</f>
        <v>2.1191915475189233E-3</v>
      </c>
      <c r="X117" s="130">
        <f>'Model homes'!$F276*H28*10^-6</f>
        <v>3.3084542410714287E-4</v>
      </c>
      <c r="Z117" s="15" t="s">
        <v>16</v>
      </c>
      <c r="AB117" s="84" t="s">
        <v>530</v>
      </c>
      <c r="AC117" s="130">
        <f>'Model homes'!$G276*E28*10^-6</f>
        <v>1.7701249999999997E-4</v>
      </c>
      <c r="AD117" s="130">
        <f>'Model homes'!$G276*F28*10^-6</f>
        <v>9.5454545454545502E-6</v>
      </c>
      <c r="AE117" s="130">
        <f>'Model homes'!$G276*G28*10^-6</f>
        <v>4.7852712363330533E-4</v>
      </c>
      <c r="AF117" s="130">
        <f>'Model homes'!$G276*H28*10^-6</f>
        <v>7.4707031250000012E-5</v>
      </c>
      <c r="AH117" s="15" t="s">
        <v>16</v>
      </c>
      <c r="AJ117" s="84" t="s">
        <v>531</v>
      </c>
      <c r="AK117" s="130">
        <f>'Model homes'!$H276*E28*10^-6</f>
        <v>2.5287499999999995E-5</v>
      </c>
      <c r="AL117" s="130">
        <f>'Model homes'!$H276*F28*10^-6</f>
        <v>1.3636363636363645E-6</v>
      </c>
      <c r="AM117" s="130">
        <f>'Model homes'!$H276*G28*10^-6</f>
        <v>6.8361017661900756E-5</v>
      </c>
      <c r="AN117" s="130">
        <f>'Model homes'!$H276*H28*10^-6</f>
        <v>1.0672433035714285E-5</v>
      </c>
    </row>
    <row r="118" spans="3:40" ht="29.25" x14ac:dyDescent="0.3">
      <c r="C118" s="15" t="s">
        <v>17</v>
      </c>
      <c r="D118" s="84" t="s">
        <v>527</v>
      </c>
      <c r="E118" s="97">
        <f>E29*'Model homes'!$J113*10^-6</f>
        <v>1.1652479999999998</v>
      </c>
      <c r="F118" s="97">
        <f>F29*'Model homes'!$J113*10^-6</f>
        <v>6.1265454545454574E-2</v>
      </c>
      <c r="G118" s="97">
        <f>G29*'Model homes'!$J113*10^-6</f>
        <v>3.2288275862068967</v>
      </c>
      <c r="H118" s="97">
        <f>H29*'Model homes'!$J113*10^-6</f>
        <v>0.4794910714285715</v>
      </c>
      <c r="J118" s="15" t="s">
        <v>17</v>
      </c>
      <c r="L118" s="84" t="s">
        <v>528</v>
      </c>
      <c r="M118" s="130">
        <f>'Model homes'!$E277*E29*10^-6</f>
        <v>5.9133846153846148E-4</v>
      </c>
      <c r="N118" s="130">
        <f>'Model homes'!$E277*F29*10^-6</f>
        <v>3.1090909090909101E-5</v>
      </c>
      <c r="O118" s="130">
        <f>'Model homes'!$E277*G29*10^-6</f>
        <v>1.6385610079575597E-3</v>
      </c>
      <c r="P118" s="130">
        <f>'Model homes'!$E277*H29*10^-6</f>
        <v>2.4333147321428574E-4</v>
      </c>
      <c r="R118" s="15" t="s">
        <v>17</v>
      </c>
      <c r="T118" s="84" t="s">
        <v>529</v>
      </c>
      <c r="U118" s="130">
        <f>'Model homes'!$F277*E29*10^-6</f>
        <v>8.7144615384615381E-4</v>
      </c>
      <c r="V118" s="130">
        <f>'Model homes'!$F277*F29*10^-6</f>
        <v>4.5818181818181842E-5</v>
      </c>
      <c r="W118" s="130">
        <f>'Model homes'!$F277*G29*10^-6</f>
        <v>2.4147214854111409E-3</v>
      </c>
      <c r="X118" s="130">
        <f>'Model homes'!$F277*H29*10^-6</f>
        <v>3.5859375000000003E-4</v>
      </c>
      <c r="Z118" s="15" t="s">
        <v>17</v>
      </c>
      <c r="AB118" s="84" t="s">
        <v>530</v>
      </c>
      <c r="AC118" s="130">
        <f>'Model homes'!$G277*E29*10^-6</f>
        <v>3.1123076923076917E-5</v>
      </c>
      <c r="AD118" s="130">
        <f>'Model homes'!$G277*F29*10^-6</f>
        <v>1.6363636363636371E-6</v>
      </c>
      <c r="AE118" s="130">
        <f>'Model homes'!$G277*G29*10^-6</f>
        <v>8.624005305039787E-5</v>
      </c>
      <c r="AF118" s="130">
        <f>'Model homes'!$G277*H29*10^-6</f>
        <v>1.2806919642857144E-5</v>
      </c>
      <c r="AH118" s="15" t="s">
        <v>17</v>
      </c>
      <c r="AJ118" s="84" t="s">
        <v>531</v>
      </c>
      <c r="AK118" s="130">
        <f>'Model homes'!$H277*E29*10^-6</f>
        <v>3.1123076923076917E-5</v>
      </c>
      <c r="AL118" s="130">
        <f>'Model homes'!$H277*F29*10^-6</f>
        <v>1.6363636363636371E-6</v>
      </c>
      <c r="AM118" s="130">
        <f>'Model homes'!$H277*G29*10^-6</f>
        <v>8.624005305039787E-5</v>
      </c>
      <c r="AN118" s="130">
        <f>'Model homes'!$H277*H29*10^-6</f>
        <v>1.2806919642857144E-5</v>
      </c>
    </row>
    <row r="119" spans="3:40" ht="29.25" x14ac:dyDescent="0.3">
      <c r="C119" s="15" t="s">
        <v>18</v>
      </c>
      <c r="D119" s="84" t="s">
        <v>527</v>
      </c>
      <c r="E119" s="97">
        <f>E30*'Model homes'!$J114*10^-6</f>
        <v>0.58262399999999981</v>
      </c>
      <c r="F119" s="97">
        <f>F30*'Model homes'!$J114*10^-6</f>
        <v>3.1048556149732631E-2</v>
      </c>
      <c r="G119" s="97">
        <f>G30*'Model homes'!$J114*10^-6</f>
        <v>1.6144137931034483</v>
      </c>
      <c r="H119" s="97">
        <f>H30*'Model homes'!$J114*10^-6</f>
        <v>0.24299999999999999</v>
      </c>
      <c r="J119" s="15" t="s">
        <v>18</v>
      </c>
      <c r="L119" s="84" t="s">
        <v>528</v>
      </c>
      <c r="M119" s="130">
        <f>'Model homes'!$E278*E30*10^-6</f>
        <v>4.5517499999999988E-4</v>
      </c>
      <c r="N119" s="130">
        <f>'Model homes'!$E278*F30*10^-6</f>
        <v>2.4256684491978617E-5</v>
      </c>
      <c r="O119" s="130">
        <f>'Model homes'!$E278*G30*10^-6</f>
        <v>1.261260775862069E-3</v>
      </c>
      <c r="P119" s="130">
        <f>'Model homes'!$E278*H30*10^-6</f>
        <v>1.8984374999999999E-4</v>
      </c>
      <c r="R119" s="15" t="s">
        <v>18</v>
      </c>
      <c r="T119" s="84" t="s">
        <v>529</v>
      </c>
      <c r="U119" s="130">
        <f>'Model homes'!$F278*E30*10^-6</f>
        <v>1.7701249999999996E-3</v>
      </c>
      <c r="V119" s="130">
        <f>'Model homes'!$F278*F30*10^-6</f>
        <v>9.4331550802139062E-5</v>
      </c>
      <c r="W119" s="130">
        <f>'Model homes'!$F278*G30*10^-6</f>
        <v>4.9049030172413797E-3</v>
      </c>
      <c r="X119" s="130">
        <f>'Model homes'!$F278*H30*10^-6</f>
        <v>7.3828125000000001E-4</v>
      </c>
      <c r="Z119" s="15" t="s">
        <v>18</v>
      </c>
      <c r="AB119" s="84" t="s">
        <v>530</v>
      </c>
      <c r="AC119" s="130">
        <f>'Model homes'!$G278*E30*10^-6</f>
        <v>2.5287499999999995E-5</v>
      </c>
      <c r="AD119" s="130">
        <f>'Model homes'!$G278*F30*10^-6</f>
        <v>1.3475935828877009E-6</v>
      </c>
      <c r="AE119" s="130">
        <f>'Model homes'!$G278*G30*10^-6</f>
        <v>7.0070043103448286E-5</v>
      </c>
      <c r="AF119" s="130">
        <f>'Model homes'!$G278*H30*10^-6</f>
        <v>1.0546874999999999E-5</v>
      </c>
      <c r="AH119" s="15" t="s">
        <v>18</v>
      </c>
      <c r="AJ119" s="84" t="s">
        <v>531</v>
      </c>
      <c r="AK119" s="130">
        <f>'Model homes'!$H278*E30*10^-6</f>
        <v>2.5287499999999995E-5</v>
      </c>
      <c r="AL119" s="130">
        <f>'Model homes'!$H278*F30*10^-6</f>
        <v>1.3475935828877009E-6</v>
      </c>
      <c r="AM119" s="130">
        <f>'Model homes'!$H278*G30*10^-6</f>
        <v>7.0070043103448286E-5</v>
      </c>
      <c r="AN119" s="130">
        <f>'Model homes'!$H278*H30*10^-6</f>
        <v>1.0546874999999999E-5</v>
      </c>
    </row>
    <row r="120" spans="3:40" ht="29.25" x14ac:dyDescent="0.3">
      <c r="C120" s="15" t="s">
        <v>19</v>
      </c>
      <c r="D120" s="84" t="s">
        <v>527</v>
      </c>
      <c r="E120" s="97">
        <f>E31*'Model homes'!$J115*10^-6</f>
        <v>0.71007299999999984</v>
      </c>
      <c r="F120" s="97">
        <f>F31*'Model homes'!$J115*10^-6</f>
        <v>3.7400422832980992E-2</v>
      </c>
      <c r="G120" s="97">
        <f>G31*'Model homes'!$J115*10^-6</f>
        <v>1.9675668103448278</v>
      </c>
      <c r="H120" s="97">
        <f>H31*'Model homes'!$J115*10^-6</f>
        <v>0.29271257267441864</v>
      </c>
      <c r="J120" s="15" t="s">
        <v>19</v>
      </c>
      <c r="L120" s="84" t="s">
        <v>528</v>
      </c>
      <c r="M120" s="130">
        <f>'Model homes'!$E279*E31*10^-6</f>
        <v>4.5517499999999988E-4</v>
      </c>
      <c r="N120" s="130">
        <f>'Model homes'!$E279*F31*10^-6</f>
        <v>2.3974630021141656E-5</v>
      </c>
      <c r="O120" s="130">
        <f>'Model homes'!$E279*G31*10^-6</f>
        <v>1.261260775862069E-3</v>
      </c>
      <c r="P120" s="130">
        <f>'Model homes'!$E279*H31*10^-6</f>
        <v>1.8763626453488372E-4</v>
      </c>
      <c r="R120" s="15" t="s">
        <v>19</v>
      </c>
      <c r="T120" s="84" t="s">
        <v>529</v>
      </c>
      <c r="U120" s="130">
        <f>'Model homes'!$F279*E31*10^-6</f>
        <v>1.7701249999999996E-3</v>
      </c>
      <c r="V120" s="130">
        <f>'Model homes'!$F279*F31*10^-6</f>
        <v>9.3234672304439776E-5</v>
      </c>
      <c r="W120" s="130">
        <f>'Model homes'!$F279*G31*10^-6</f>
        <v>4.9049030172413797E-3</v>
      </c>
      <c r="X120" s="130">
        <f>'Model homes'!$F279*H31*10^-6</f>
        <v>7.2969658430232555E-4</v>
      </c>
      <c r="Z120" s="15" t="s">
        <v>19</v>
      </c>
      <c r="AB120" s="84" t="s">
        <v>530</v>
      </c>
      <c r="AC120" s="130">
        <f>'Model homes'!$G279*E31*10^-6</f>
        <v>2.5287499999999995E-5</v>
      </c>
      <c r="AD120" s="130">
        <f>'Model homes'!$G279*F31*10^-6</f>
        <v>1.3319238900634256E-6</v>
      </c>
      <c r="AE120" s="130">
        <f>'Model homes'!$G279*G31*10^-6</f>
        <v>7.0070043103448286E-5</v>
      </c>
      <c r="AF120" s="130">
        <f>'Model homes'!$G279*H31*10^-6</f>
        <v>1.0424236918604652E-5</v>
      </c>
      <c r="AH120" s="15" t="s">
        <v>19</v>
      </c>
      <c r="AJ120" s="84" t="s">
        <v>531</v>
      </c>
      <c r="AK120" s="130">
        <f>'Model homes'!$H279*E31*10^-6</f>
        <v>2.5287499999999995E-5</v>
      </c>
      <c r="AL120" s="130">
        <f>'Model homes'!$H279*F31*10^-6</f>
        <v>1.3319238900634256E-6</v>
      </c>
      <c r="AM120" s="130">
        <f>'Model homes'!$H279*G31*10^-6</f>
        <v>7.0070043103448286E-5</v>
      </c>
      <c r="AN120" s="130">
        <f>'Model homes'!$H279*H31*10^-6</f>
        <v>1.0424236918604652E-5</v>
      </c>
    </row>
    <row r="121" spans="3:40" ht="15.95" customHeight="1" x14ac:dyDescent="0.3">
      <c r="C121" s="14" t="s">
        <v>20</v>
      </c>
      <c r="D121" s="84" t="s">
        <v>527</v>
      </c>
      <c r="E121" s="97">
        <f>E32*'Model homes'!$J116*10^-6</f>
        <v>0.47638079999999999</v>
      </c>
      <c r="F121" s="97">
        <f>F32*'Model homes'!$J116*10^-6</f>
        <v>2.6353354231974931E-2</v>
      </c>
      <c r="G121" s="97">
        <f>G32*'Model homes'!$J116*10^-6</f>
        <v>1.2896753864447086</v>
      </c>
      <c r="H121" s="97">
        <f>H32*'Model homes'!$J116*10^-6</f>
        <v>0.20625323275862067</v>
      </c>
      <c r="J121" s="14" t="s">
        <v>20</v>
      </c>
      <c r="L121" s="84" t="s">
        <v>528</v>
      </c>
      <c r="M121" s="130">
        <f>'Model homes'!$E280*E32*10^-6</f>
        <v>0</v>
      </c>
      <c r="N121" s="130">
        <f>'Model homes'!$E280*F32*10^-6</f>
        <v>0</v>
      </c>
      <c r="O121" s="130">
        <f>'Model homes'!$E280*G32*10^-6</f>
        <v>0</v>
      </c>
      <c r="P121" s="130">
        <f>'Model homes'!$E280*H32*10^-6</f>
        <v>0</v>
      </c>
      <c r="R121" s="14" t="s">
        <v>20</v>
      </c>
      <c r="T121" s="84" t="s">
        <v>529</v>
      </c>
      <c r="U121" s="130">
        <f>'Model homes'!$F280*E32*10^-6</f>
        <v>3.0940000000000004E-4</v>
      </c>
      <c r="V121" s="130">
        <f>'Model homes'!$F280*F32*10^-6</f>
        <v>1.7115987460815056E-5</v>
      </c>
      <c r="W121" s="130">
        <f>'Model homes'!$F280*G32*10^-6</f>
        <v>8.3761890606420927E-4</v>
      </c>
      <c r="X121" s="130">
        <f>'Model homes'!$F280*H32*10^-6</f>
        <v>1.339574353448276E-4</v>
      </c>
      <c r="Z121" s="14" t="s">
        <v>20</v>
      </c>
      <c r="AB121" s="84" t="s">
        <v>530</v>
      </c>
      <c r="AC121" s="130">
        <f>'Model homes'!$G280*E32*10^-6</f>
        <v>0</v>
      </c>
      <c r="AD121" s="130">
        <f>'Model homes'!$G280*F32*10^-6</f>
        <v>0</v>
      </c>
      <c r="AE121" s="130">
        <f>'Model homes'!$G280*G32*10^-6</f>
        <v>0</v>
      </c>
      <c r="AF121" s="130">
        <f>'Model homes'!$G280*H32*10^-6</f>
        <v>0</v>
      </c>
      <c r="AH121" s="14" t="s">
        <v>20</v>
      </c>
      <c r="AJ121" s="84" t="s">
        <v>531</v>
      </c>
      <c r="AK121" s="130">
        <f>'Model homes'!$H280*E32*10^-6</f>
        <v>0</v>
      </c>
      <c r="AL121" s="130">
        <f>'Model homes'!$H280*F32*10^-6</f>
        <v>0</v>
      </c>
      <c r="AM121" s="130">
        <f>'Model homes'!$H280*G32*10^-6</f>
        <v>0</v>
      </c>
      <c r="AN121" s="130">
        <f>'Model homes'!$H280*H32*10^-6</f>
        <v>0</v>
      </c>
    </row>
    <row r="122" spans="3:40" ht="15.95" customHeight="1" x14ac:dyDescent="0.3">
      <c r="C122" s="14" t="s">
        <v>21</v>
      </c>
      <c r="D122" s="84" t="s">
        <v>527</v>
      </c>
      <c r="E122" s="97" t="e">
        <f>E33*'Model homes'!$J117*10^-6</f>
        <v>#N/A</v>
      </c>
      <c r="F122" s="97" t="e">
        <f>F33*'Model homes'!$J117*10^-6</f>
        <v>#N/A</v>
      </c>
      <c r="G122" s="97" t="e">
        <f>G33*'Model homes'!$J117*10^-6</f>
        <v>#N/A</v>
      </c>
      <c r="H122" s="97" t="e">
        <f>H33*'Model homes'!$J117*10^-6</f>
        <v>#N/A</v>
      </c>
      <c r="J122" s="14" t="s">
        <v>21</v>
      </c>
      <c r="L122" s="84" t="s">
        <v>528</v>
      </c>
      <c r="M122" s="130" t="e">
        <f>'Model homes'!$E281*E33*10^-6</f>
        <v>#DIV/0!</v>
      </c>
      <c r="N122" s="130" t="e">
        <f>'Model homes'!$E281*F33*10^-6</f>
        <v>#DIV/0!</v>
      </c>
      <c r="O122" s="130" t="e">
        <f>'Model homes'!$E281*G33*10^-6</f>
        <v>#DIV/0!</v>
      </c>
      <c r="P122" s="130" t="e">
        <f>'Model homes'!$E281*H33*10^-6</f>
        <v>#DIV/0!</v>
      </c>
      <c r="R122" s="14" t="s">
        <v>21</v>
      </c>
      <c r="T122" s="84" t="s">
        <v>529</v>
      </c>
      <c r="U122" s="130" t="e">
        <f>'Model homes'!$F281*E33*10^-6</f>
        <v>#DIV/0!</v>
      </c>
      <c r="V122" s="130" t="e">
        <f>'Model homes'!$F281*F33*10^-6</f>
        <v>#DIV/0!</v>
      </c>
      <c r="W122" s="130" t="e">
        <f>'Model homes'!$F281*G33*10^-6</f>
        <v>#DIV/0!</v>
      </c>
      <c r="X122" s="130" t="e">
        <f>'Model homes'!$F281*H33*10^-6</f>
        <v>#DIV/0!</v>
      </c>
      <c r="Z122" s="14" t="s">
        <v>21</v>
      </c>
      <c r="AB122" s="84" t="s">
        <v>530</v>
      </c>
      <c r="AC122" s="130" t="e">
        <f>'Model homes'!$G281*E33*10^-6</f>
        <v>#DIV/0!</v>
      </c>
      <c r="AD122" s="130" t="e">
        <f>'Model homes'!$G281*F33*10^-6</f>
        <v>#DIV/0!</v>
      </c>
      <c r="AE122" s="130" t="e">
        <f>'Model homes'!$G281*G33*10^-6</f>
        <v>#DIV/0!</v>
      </c>
      <c r="AF122" s="130" t="e">
        <f>'Model homes'!$G281*H33*10^-6</f>
        <v>#DIV/0!</v>
      </c>
      <c r="AH122" s="14" t="s">
        <v>21</v>
      </c>
      <c r="AJ122" s="84" t="s">
        <v>531</v>
      </c>
      <c r="AK122" s="130" t="e">
        <f>'Model homes'!$H281*E33*10^-6</f>
        <v>#DIV/0!</v>
      </c>
      <c r="AL122" s="130" t="e">
        <f>'Model homes'!$H281*F33*10^-6</f>
        <v>#DIV/0!</v>
      </c>
      <c r="AM122" s="130" t="e">
        <f>'Model homes'!$H281*G33*10^-6</f>
        <v>#DIV/0!</v>
      </c>
      <c r="AN122" s="130" t="e">
        <f>'Model homes'!$H281*H33*10^-6</f>
        <v>#DIV/0!</v>
      </c>
    </row>
    <row r="123" spans="3:40" ht="29.25" x14ac:dyDescent="0.3">
      <c r="C123" s="14" t="s">
        <v>22</v>
      </c>
      <c r="D123" s="84" t="s">
        <v>527</v>
      </c>
      <c r="E123" s="97" t="e">
        <f>E34*'Model homes'!$J118*10^-6</f>
        <v>#N/A</v>
      </c>
      <c r="F123" s="97" t="e">
        <f>F34*'Model homes'!$J118*10^-6</f>
        <v>#N/A</v>
      </c>
      <c r="G123" s="97" t="e">
        <f>G34*'Model homes'!$J118*10^-6</f>
        <v>#N/A</v>
      </c>
      <c r="H123" s="97" t="e">
        <f>H34*'Model homes'!$J118*10^-6</f>
        <v>#N/A</v>
      </c>
      <c r="J123" s="14" t="s">
        <v>22</v>
      </c>
      <c r="L123" s="84" t="s">
        <v>528</v>
      </c>
      <c r="M123" s="130" t="e">
        <f>'Model homes'!$E282*E34*10^-6</f>
        <v>#DIV/0!</v>
      </c>
      <c r="N123" s="130" t="e">
        <f>'Model homes'!$E282*F34*10^-6</f>
        <v>#DIV/0!</v>
      </c>
      <c r="O123" s="130" t="e">
        <f>'Model homes'!$E282*G34*10^-6</f>
        <v>#DIV/0!</v>
      </c>
      <c r="P123" s="130" t="e">
        <f>'Model homes'!$E282*H34*10^-6</f>
        <v>#DIV/0!</v>
      </c>
      <c r="R123" s="14" t="s">
        <v>22</v>
      </c>
      <c r="T123" s="84" t="s">
        <v>529</v>
      </c>
      <c r="U123" s="130" t="e">
        <f>'Model homes'!$F282*E34*10^-6</f>
        <v>#DIV/0!</v>
      </c>
      <c r="V123" s="130" t="e">
        <f>'Model homes'!$F282*F34*10^-6</f>
        <v>#DIV/0!</v>
      </c>
      <c r="W123" s="130" t="e">
        <f>'Model homes'!$F282*G34*10^-6</f>
        <v>#DIV/0!</v>
      </c>
      <c r="X123" s="130" t="e">
        <f>'Model homes'!$F282*H34*10^-6</f>
        <v>#DIV/0!</v>
      </c>
      <c r="Z123" s="14" t="s">
        <v>22</v>
      </c>
      <c r="AB123" s="84" t="s">
        <v>530</v>
      </c>
      <c r="AC123" s="130" t="e">
        <f>'Model homes'!$G282*E34*10^-6</f>
        <v>#DIV/0!</v>
      </c>
      <c r="AD123" s="130" t="e">
        <f>'Model homes'!$G282*F34*10^-6</f>
        <v>#DIV/0!</v>
      </c>
      <c r="AE123" s="130" t="e">
        <f>'Model homes'!$G282*G34*10^-6</f>
        <v>#DIV/0!</v>
      </c>
      <c r="AF123" s="130" t="e">
        <f>'Model homes'!$G282*H34*10^-6</f>
        <v>#DIV/0!</v>
      </c>
      <c r="AH123" s="14" t="s">
        <v>22</v>
      </c>
      <c r="AJ123" s="84" t="s">
        <v>531</v>
      </c>
      <c r="AK123" s="130" t="e">
        <f>'Model homes'!$H282*E34*10^-6</f>
        <v>#DIV/0!</v>
      </c>
      <c r="AL123" s="130" t="e">
        <f>'Model homes'!$H282*F34*10^-6</f>
        <v>#DIV/0!</v>
      </c>
      <c r="AM123" s="130" t="e">
        <f>'Model homes'!$H282*G34*10^-6</f>
        <v>#DIV/0!</v>
      </c>
      <c r="AN123" s="130" t="e">
        <f>'Model homes'!$H282*H34*10^-6</f>
        <v>#DIV/0!</v>
      </c>
    </row>
    <row r="124" spans="3:40" x14ac:dyDescent="0.3">
      <c r="J124" s="26"/>
      <c r="L124" s="84"/>
      <c r="R124" s="26"/>
      <c r="T124" s="84"/>
      <c r="Z124" s="26"/>
      <c r="AB124" s="84"/>
      <c r="AH124" s="26"/>
      <c r="AJ124" s="84"/>
    </row>
    <row r="125" spans="3:40" x14ac:dyDescent="0.3">
      <c r="C125" s="51" t="s">
        <v>313</v>
      </c>
      <c r="E125" s="106"/>
      <c r="J125" s="51" t="s">
        <v>532</v>
      </c>
      <c r="R125" s="51" t="s">
        <v>533</v>
      </c>
      <c r="Z125" s="51" t="s">
        <v>534</v>
      </c>
      <c r="AH125" s="51" t="s">
        <v>535</v>
      </c>
    </row>
    <row r="126" spans="3:40" x14ac:dyDescent="0.3">
      <c r="C126" s="20" t="s">
        <v>14</v>
      </c>
      <c r="D126" s="84" t="s">
        <v>536</v>
      </c>
      <c r="E126" s="42" t="e">
        <f>LOOKUP(E$64,'Model homes'!$C$203:$C$227,'Model homes'!$F$203:$F$227)*E115</f>
        <v>#VALUE!</v>
      </c>
      <c r="F126" s="42" t="e">
        <f>LOOKUP(F$64,'Model homes'!$C$203:$C$227,'Model homes'!$F$203:$F$227)*F115</f>
        <v>#VALUE!</v>
      </c>
      <c r="G126" s="42" t="e">
        <f>LOOKUP(G$64,'Model homes'!$C$203:$C$227,'Model homes'!$F$203:$F$227)*G115</f>
        <v>#VALUE!</v>
      </c>
      <c r="H126" s="42" t="e">
        <f>LOOKUP(H$64,'Model homes'!$C$203:$C$227,'Model homes'!$F$203:$F$227)*H115</f>
        <v>#VALUE!</v>
      </c>
      <c r="J126" s="20" t="s">
        <v>14</v>
      </c>
      <c r="L126" s="84" t="s">
        <v>536</v>
      </c>
      <c r="M126" s="159" t="e">
        <f>LOOKUP(E$64,'Model homes'!$C$351:$C$375,'Model homes'!$E$351:$E$375)*M115</f>
        <v>#DIV/0!</v>
      </c>
      <c r="N126" s="159" t="e">
        <f>LOOKUP(F$64,'Model homes'!$C$351:$C$375,'Model homes'!$E$351:$E$375)*N115</f>
        <v>#DIV/0!</v>
      </c>
      <c r="O126" s="159" t="e">
        <f>LOOKUP(G$64,'Model homes'!$C$351:$C$375,'Model homes'!$E$351:$E$375)*O115</f>
        <v>#DIV/0!</v>
      </c>
      <c r="P126" s="159" t="e">
        <f>LOOKUP(H$64,'Model homes'!$C$351:$C$375,'Model homes'!$E$351:$E$375)*P115</f>
        <v>#DIV/0!</v>
      </c>
      <c r="R126" s="20" t="s">
        <v>14</v>
      </c>
      <c r="T126" s="84" t="s">
        <v>536</v>
      </c>
      <c r="U126" s="159" t="e">
        <f>LOOKUP(E$64,'Model homes'!$C$351:$C$375,'Model homes'!$F$351:$F$375)*U115</f>
        <v>#DIV/0!</v>
      </c>
      <c r="V126" s="159" t="e">
        <f>LOOKUP(F$64,'Model homes'!$C$351:$C$375,'Model homes'!$F$351:$F$375)*V115</f>
        <v>#DIV/0!</v>
      </c>
      <c r="W126" s="159" t="e">
        <f>LOOKUP(G$64,'Model homes'!$C$351:$C$375,'Model homes'!$F$351:$F$375)*W115</f>
        <v>#DIV/0!</v>
      </c>
      <c r="X126" s="159" t="e">
        <f>LOOKUP(H$64,'Model homes'!$C$351:$C$375,'Model homes'!$F$351:$F$375)*X115</f>
        <v>#DIV/0!</v>
      </c>
      <c r="Z126" s="20" t="s">
        <v>14</v>
      </c>
      <c r="AB126" s="84" t="s">
        <v>536</v>
      </c>
      <c r="AC126" s="159" t="e">
        <f>LOOKUP(E$64,'Model homes'!$C$351:$C$375,'Model homes'!$G$351:$G$375)*AC115</f>
        <v>#DIV/0!</v>
      </c>
      <c r="AD126" s="159" t="e">
        <f>LOOKUP(F$64,'Model homes'!$C$351:$C$375,'Model homes'!$G$351:$G$375)*AD115</f>
        <v>#DIV/0!</v>
      </c>
      <c r="AE126" s="159" t="e">
        <f>LOOKUP(G$64,'Model homes'!$C$351:$C$375,'Model homes'!$G$351:$G$375)*AE115</f>
        <v>#DIV/0!</v>
      </c>
      <c r="AF126" s="159" t="e">
        <f>LOOKUP(H$64,'Model homes'!$C$351:$C$375,'Model homes'!$G$351:$G$375)*AF115</f>
        <v>#DIV/0!</v>
      </c>
      <c r="AH126" s="20" t="s">
        <v>14</v>
      </c>
      <c r="AJ126" s="84" t="s">
        <v>536</v>
      </c>
      <c r="AK126" s="159" t="e">
        <f>LOOKUP(E$64,'Model homes'!$C$351:$C$375,'Model homes'!$H$351:$H$375)*AK115</f>
        <v>#DIV/0!</v>
      </c>
      <c r="AL126" s="159" t="e">
        <f>LOOKUP(F$64,'Model homes'!$C$351:$C$375,'Model homes'!$H$351:$H$375)*AL115</f>
        <v>#DIV/0!</v>
      </c>
      <c r="AM126" s="159" t="e">
        <f>LOOKUP(G$64,'Model homes'!$C$351:$C$375,'Model homes'!$H$351:$H$375)*AM115</f>
        <v>#DIV/0!</v>
      </c>
      <c r="AN126" s="159" t="e">
        <f>LOOKUP(H$64,'Model homes'!$C$351:$C$375,'Model homes'!$H$351:$H$375)*AN115</f>
        <v>#DIV/0!</v>
      </c>
    </row>
    <row r="127" spans="3:40" x14ac:dyDescent="0.3">
      <c r="C127" s="14" t="s">
        <v>15</v>
      </c>
      <c r="D127" s="84" t="s">
        <v>536</v>
      </c>
      <c r="E127" s="42">
        <f>LOOKUP(E$64,'Model homes'!$C$203:$C$227,'Model homes'!$F$203:$F$227)*E116</f>
        <v>0</v>
      </c>
      <c r="F127" s="42">
        <f>LOOKUP(F$64,'Model homes'!$C$203:$C$227,'Model homes'!$F$203:$F$227)*F116</f>
        <v>0</v>
      </c>
      <c r="G127" s="42">
        <f>LOOKUP(G$64,'Model homes'!$C$203:$C$227,'Model homes'!$F$203:$F$227)*G116</f>
        <v>0</v>
      </c>
      <c r="H127" s="42">
        <f>LOOKUP(H$64,'Model homes'!$C$203:$C$227,'Model homes'!$F$203:$F$227)*H116</f>
        <v>0</v>
      </c>
      <c r="J127" s="14" t="s">
        <v>15</v>
      </c>
      <c r="L127" s="84" t="s">
        <v>536</v>
      </c>
      <c r="M127" s="42">
        <f>LOOKUP(E$64,'Model homes'!$J$351:$J$375,'Model homes'!$L$351:$L$375)*M116</f>
        <v>1.2614197526253506</v>
      </c>
      <c r="N127" s="42">
        <f>LOOKUP(F$64,'Model homes'!$J$351:$J$375,'Model homes'!$L$351:$L$375)*N116</f>
        <v>6.6321894152323785E-2</v>
      </c>
      <c r="O127" s="42">
        <f>LOOKUP(G$64,'Model homes'!$J$351:$J$375,'Model homes'!$L$351:$L$375)*O116</f>
        <v>3.3909756418913601</v>
      </c>
      <c r="P127" s="42">
        <f>LOOKUP(H$64,'Model homes'!$J$351:$J$375,'Model homes'!$L$351:$L$375)*P116</f>
        <v>0.51906504770443118</v>
      </c>
      <c r="R127" s="14" t="s">
        <v>15</v>
      </c>
      <c r="T127" s="84" t="s">
        <v>536</v>
      </c>
      <c r="U127" s="42">
        <f>LOOKUP(E$64,'Model homes'!$J$351:$J$375,'Model homes'!$M$351:$M$375)*U116</f>
        <v>21.015088516065202</v>
      </c>
      <c r="V127" s="42">
        <f>LOOKUP(F$64,'Model homes'!$J$351:$J$375,'Model homes'!$M$351:$M$375)*V116</f>
        <v>1.1049141043363275</v>
      </c>
      <c r="W127" s="42">
        <f>LOOKUP(G$64,'Model homes'!$J$351:$J$375,'Model homes'!$M$351:$M$375)*W116</f>
        <v>56.493211813001551</v>
      </c>
      <c r="X127" s="42">
        <f>LOOKUP(H$64,'Model homes'!$J$351:$J$375,'Model homes'!$M$351:$M$375)*X116</f>
        <v>8.6475559784135001</v>
      </c>
      <c r="Z127" s="14" t="s">
        <v>15</v>
      </c>
      <c r="AB127" s="84" t="s">
        <v>536</v>
      </c>
      <c r="AC127" s="42">
        <f>LOOKUP(E$64,'Model homes'!$J$351:$J$375,'Model homes'!$N$351:$N$375)*AC116</f>
        <v>13.064707768726006</v>
      </c>
      <c r="AD127" s="42">
        <f>LOOKUP(F$64,'Model homes'!$J$351:$J$375,'Model homes'!$N$351:$N$375)*AD116</f>
        <v>0.68690549990605465</v>
      </c>
      <c r="AE127" s="42">
        <f>LOOKUP(G$64,'Model homes'!$J$351:$J$375,'Model homes'!$N$351:$N$375)*AE116</f>
        <v>35.120827718112245</v>
      </c>
      <c r="AF127" s="42">
        <f>LOOKUP(H$64,'Model homes'!$J$351:$J$375,'Model homes'!$N$351:$N$375)*AF116</f>
        <v>5.3760321630482215</v>
      </c>
      <c r="AH127" s="14" t="s">
        <v>15</v>
      </c>
      <c r="AJ127" s="84" t="s">
        <v>536</v>
      </c>
      <c r="AK127" s="42">
        <f>LOOKUP(E$64,'Model homes'!$J$351:$J$375,'Model homes'!$O$351:$O$375)*AK116</f>
        <v>5.1485609668621278E-2</v>
      </c>
      <c r="AL127" s="42">
        <f>LOOKUP(F$64,'Model homes'!$J$351:$J$375,'Model homes'!$O$351:$O$375)*AL116</f>
        <v>2.7069681980985455E-3</v>
      </c>
      <c r="AM127" s="42">
        <f>LOOKUP(G$64,'Model homes'!$J$351:$J$375,'Model homes'!$O$351:$O$375)*AM116</f>
        <v>0.13840472049915195</v>
      </c>
      <c r="AN127" s="42">
        <f>LOOKUP(H$64,'Model homes'!$J$351:$J$375,'Model homes'!$O$351:$O$375)*AN116</f>
        <v>2.1185953670944245E-2</v>
      </c>
    </row>
    <row r="128" spans="3:40" x14ac:dyDescent="0.3">
      <c r="C128" s="15" t="s">
        <v>16</v>
      </c>
      <c r="D128" s="84" t="s">
        <v>536</v>
      </c>
      <c r="E128" s="42">
        <f>LOOKUP(E$64,'Model homes'!$C$203:$C$227,'Model homes'!$F$203:$F$227)*E117</f>
        <v>0</v>
      </c>
      <c r="F128" s="42">
        <f>LOOKUP(F$64,'Model homes'!$C$203:$C$227,'Model homes'!$F$203:$F$227)*F117</f>
        <v>0</v>
      </c>
      <c r="G128" s="42">
        <f>LOOKUP(G$64,'Model homes'!$C$203:$C$227,'Model homes'!$F$203:$F$227)*G117</f>
        <v>0</v>
      </c>
      <c r="H128" s="42">
        <f>LOOKUP(H$64,'Model homes'!$C$203:$C$227,'Model homes'!$F$203:$F$227)*H117</f>
        <v>0</v>
      </c>
      <c r="J128" s="15" t="s">
        <v>16</v>
      </c>
      <c r="L128" s="84" t="s">
        <v>536</v>
      </c>
      <c r="M128" s="42">
        <f>LOOKUP(E$64,'Model homes'!$J$351:$J$375,'Model homes'!$L$351:$L$375)*M117</f>
        <v>1.0249035490080973</v>
      </c>
      <c r="N128" s="42">
        <f>LOOKUP(F$64,'Model homes'!$J$351:$J$375,'Model homes'!$L$351:$L$375)*N117</f>
        <v>5.5268245126936497E-2</v>
      </c>
      <c r="O128" s="42">
        <f>LOOKUP(G$64,'Model homes'!$J$351:$J$375,'Model homes'!$L$351:$L$375)*O117</f>
        <v>2.77067521959416</v>
      </c>
      <c r="P128" s="42">
        <f>LOOKUP(H$64,'Model homes'!$J$351:$J$375,'Model homes'!$L$351:$L$375)*P117</f>
        <v>0.4325542064203593</v>
      </c>
      <c r="R128" s="15" t="s">
        <v>16</v>
      </c>
      <c r="T128" s="84" t="s">
        <v>536</v>
      </c>
      <c r="U128" s="42">
        <f>LOOKUP(E$64,'Model homes'!$J$351:$J$375,'Model homes'!$M$351:$M$375)*U117</f>
        <v>17.074759419302975</v>
      </c>
      <c r="V128" s="42">
        <f>LOOKUP(F$64,'Model homes'!$J$351:$J$375,'Model homes'!$M$351:$M$375)*V117</f>
        <v>0.92076175361360657</v>
      </c>
      <c r="W128" s="42">
        <f>LOOKUP(G$64,'Model homes'!$J$351:$J$375,'Model homes'!$M$351:$M$375)*W117</f>
        <v>46.159087700867119</v>
      </c>
      <c r="X128" s="42">
        <f>LOOKUP(H$64,'Model homes'!$J$351:$J$375,'Model homes'!$M$351:$M$375)*X117</f>
        <v>7.2062966486779159</v>
      </c>
      <c r="Z128" s="15" t="s">
        <v>16</v>
      </c>
      <c r="AB128" s="84" t="s">
        <v>536</v>
      </c>
      <c r="AC128" s="42">
        <f>LOOKUP(E$64,'Model homes'!$J$351:$J$375,'Model homes'!$N$351:$N$375)*AC117</f>
        <v>10.615075062089877</v>
      </c>
      <c r="AD128" s="42">
        <f>LOOKUP(F$64,'Model homes'!$J$351:$J$375,'Model homes'!$N$351:$N$375)*AD117</f>
        <v>0.57242124992171217</v>
      </c>
      <c r="AE128" s="42">
        <f>LOOKUP(G$64,'Model homes'!$J$351:$J$375,'Model homes'!$N$351:$N$375)*AE117</f>
        <v>28.696286062360002</v>
      </c>
      <c r="AF128" s="42">
        <f>LOOKUP(H$64,'Model homes'!$J$351:$J$375,'Model homes'!$N$351:$N$375)*AF117</f>
        <v>4.480026802540185</v>
      </c>
      <c r="AH128" s="15" t="s">
        <v>16</v>
      </c>
      <c r="AJ128" s="84" t="s">
        <v>536</v>
      </c>
      <c r="AK128" s="42">
        <f>LOOKUP(E$64,'Model homes'!$J$351:$J$375,'Model homes'!$O$351:$O$375)*AK117</f>
        <v>4.1832057855754785E-2</v>
      </c>
      <c r="AL128" s="42">
        <f>LOOKUP(F$64,'Model homes'!$J$351:$J$375,'Model homes'!$O$351:$O$375)*AL117</f>
        <v>2.2558068317487883E-3</v>
      </c>
      <c r="AM128" s="42">
        <f>LOOKUP(G$64,'Model homes'!$J$351:$J$375,'Model homes'!$O$351:$O$375)*AM117</f>
        <v>0.11308678382247782</v>
      </c>
      <c r="AN128" s="42">
        <f>LOOKUP(H$64,'Model homes'!$J$351:$J$375,'Model homes'!$O$351:$O$375)*AN117</f>
        <v>1.7654961392453535E-2</v>
      </c>
    </row>
    <row r="129" spans="3:40" x14ac:dyDescent="0.3">
      <c r="C129" s="15" t="s">
        <v>17</v>
      </c>
      <c r="D129" s="84" t="s">
        <v>536</v>
      </c>
      <c r="E129" s="42">
        <f>LOOKUP(E$64,'Model homes'!$C$203:$C$227,'Model homes'!$F$203:$F$227)*E118</f>
        <v>362.75801576880747</v>
      </c>
      <c r="F129" s="42">
        <f>LOOKUP(F$64,'Model homes'!$C$203:$C$227,'Model homes'!$F$203:$F$227)*F118</f>
        <v>19.072793710938075</v>
      </c>
      <c r="G129" s="42">
        <f>LOOKUP(G$64,'Model homes'!$C$203:$C$227,'Model homes'!$F$203:$F$227)*G118</f>
        <v>1005.1792308864741</v>
      </c>
      <c r="H129" s="42">
        <f>LOOKUP(H$64,'Model homes'!$C$203:$C$227,'Model homes'!$F$203:$F$227)*H118</f>
        <v>149.27228336825135</v>
      </c>
      <c r="J129" s="15" t="s">
        <v>17</v>
      </c>
      <c r="L129" s="84" t="s">
        <v>536</v>
      </c>
      <c r="M129" s="42">
        <f>LOOKUP(E$64,'Model homes'!$J$351:$J$375,'Model homes'!$L$351:$L$375)*M118</f>
        <v>11.983487649940832</v>
      </c>
      <c r="N129" s="42">
        <f>LOOKUP(F$64,'Model homes'!$J$351:$J$375,'Model homes'!$L$351:$L$375)*N118</f>
        <v>0.63005799444707589</v>
      </c>
      <c r="O129" s="42">
        <f>LOOKUP(G$64,'Model homes'!$J$351:$J$375,'Model homes'!$L$351:$L$375)*O118</f>
        <v>33.205476862520783</v>
      </c>
      <c r="P129" s="42">
        <f>LOOKUP(H$64,'Model homes'!$J$351:$J$375,'Model homes'!$L$351:$L$375)*P118</f>
        <v>4.9311179531920963</v>
      </c>
      <c r="R129" s="15" t="s">
        <v>17</v>
      </c>
      <c r="T129" s="84" t="s">
        <v>536</v>
      </c>
      <c r="U129" s="42">
        <f>LOOKUP(E$64,'Model homes'!$J$351:$J$375,'Model homes'!$M$351:$M$375)*U118</f>
        <v>18.981370272575024</v>
      </c>
      <c r="V129" s="42">
        <f>LOOKUP(F$64,'Model homes'!$J$351:$J$375,'Model homes'!$M$351:$M$375)*V118</f>
        <v>0.99798693294894125</v>
      </c>
      <c r="W129" s="42">
        <f>LOOKUP(G$64,'Model homes'!$J$351:$J$375,'Model homes'!$M$351:$M$375)*W118</f>
        <v>52.596161469573659</v>
      </c>
      <c r="X129" s="42">
        <f>LOOKUP(H$64,'Model homes'!$J$351:$J$375,'Model homes'!$M$351:$M$375)*X118</f>
        <v>7.8106957224379991</v>
      </c>
      <c r="Z129" s="15" t="s">
        <v>17</v>
      </c>
      <c r="AB129" s="84" t="s">
        <v>536</v>
      </c>
      <c r="AC129" s="42">
        <f>LOOKUP(E$64,'Model homes'!$J$351:$J$375,'Model homes'!$N$351:$N$375)*AC118</f>
        <v>1.8663868241037147</v>
      </c>
      <c r="AD129" s="42">
        <f>LOOKUP(F$64,'Model homes'!$J$351:$J$375,'Model homes'!$N$351:$N$375)*AD118</f>
        <v>9.8129357129436379E-2</v>
      </c>
      <c r="AE129" s="42">
        <f>LOOKUP(G$64,'Model homes'!$J$351:$J$375,'Model homes'!$N$351:$N$375)*AE118</f>
        <v>5.1716383672824611</v>
      </c>
      <c r="AF129" s="42">
        <f>LOOKUP(H$64,'Model homes'!$J$351:$J$375,'Model homes'!$N$351:$N$375)*AF118</f>
        <v>0.76800459472117444</v>
      </c>
      <c r="AH129" s="15" t="s">
        <v>17</v>
      </c>
      <c r="AJ129" s="84" t="s">
        <v>536</v>
      </c>
      <c r="AK129" s="42">
        <f>LOOKUP(E$64,'Model homes'!$J$351:$J$375,'Model homes'!$O$351:$O$375)*AK118</f>
        <v>5.1485609668621278E-2</v>
      </c>
      <c r="AL129" s="42">
        <f>LOOKUP(F$64,'Model homes'!$J$351:$J$375,'Model homes'!$O$351:$O$375)*AL118</f>
        <v>2.7069681980985455E-3</v>
      </c>
      <c r="AM129" s="42">
        <f>LOOKUP(G$64,'Model homes'!$J$351:$J$375,'Model homes'!$O$351:$O$375)*AM118</f>
        <v>0.14266332728374123</v>
      </c>
      <c r="AN129" s="42">
        <f>LOOKUP(H$64,'Model homes'!$J$351:$J$375,'Model homes'!$O$351:$O$375)*AN118</f>
        <v>2.1185953670944245E-2</v>
      </c>
    </row>
    <row r="130" spans="3:40" x14ac:dyDescent="0.3">
      <c r="C130" s="15" t="s">
        <v>18</v>
      </c>
      <c r="D130" s="84" t="s">
        <v>536</v>
      </c>
      <c r="E130" s="42">
        <f>LOOKUP(E$64,'Model homes'!$C$203:$C$227,'Model homes'!$F$203:$F$227)*E119</f>
        <v>181.37900788440371</v>
      </c>
      <c r="F130" s="42">
        <f>LOOKUP(F$64,'Model homes'!$C$203:$C$227,'Model homes'!$F$203:$F$227)*F119</f>
        <v>9.6658502064482548</v>
      </c>
      <c r="G130" s="42">
        <f>LOOKUP(G$64,'Model homes'!$C$203:$C$227,'Model homes'!$F$203:$F$227)*G119</f>
        <v>502.58961544323705</v>
      </c>
      <c r="H130" s="42">
        <f>LOOKUP(H$64,'Model homes'!$C$203:$C$227,'Model homes'!$F$203:$F$227)*H119</f>
        <v>75.64930197848031</v>
      </c>
      <c r="J130" s="15" t="s">
        <v>18</v>
      </c>
      <c r="L130" s="84" t="s">
        <v>536</v>
      </c>
      <c r="M130" s="42">
        <f>LOOKUP(E$64,'Model homes'!$J$351:$J$375,'Model homes'!$L$351:$L$375)*M119</f>
        <v>9.2241319410728764</v>
      </c>
      <c r="N130" s="42">
        <f>LOOKUP(F$64,'Model homes'!$J$351:$J$375,'Model homes'!$L$351:$L$375)*N119</f>
        <v>0.49156227430545857</v>
      </c>
      <c r="O130" s="42">
        <f>LOOKUP(G$64,'Model homes'!$J$351:$J$375,'Model homes'!$L$351:$L$375)*O119</f>
        <v>25.559478900756126</v>
      </c>
      <c r="P130" s="42">
        <f>LOOKUP(H$64,'Model homes'!$J$351:$J$375,'Model homes'!$L$351:$L$375)*P119</f>
        <v>3.8471880006328423</v>
      </c>
      <c r="R130" s="15" t="s">
        <v>18</v>
      </c>
      <c r="T130" s="84" t="s">
        <v>536</v>
      </c>
      <c r="U130" s="42">
        <f>LOOKUP(E$64,'Model homes'!$J$351:$J$375,'Model homes'!$M$351:$M$375)*U119</f>
        <v>38.555908366168012</v>
      </c>
      <c r="V130" s="42">
        <f>LOOKUP(F$64,'Model homes'!$J$351:$J$375,'Model homes'!$M$351:$M$375)*V119</f>
        <v>2.054678979600761</v>
      </c>
      <c r="W130" s="42">
        <f>LOOKUP(G$64,'Model homes'!$J$351:$J$375,'Model homes'!$M$351:$M$375)*W119</f>
        <v>106.83595298507149</v>
      </c>
      <c r="X130" s="42">
        <f>LOOKUP(H$64,'Model homes'!$J$351:$J$375,'Model homes'!$M$351:$M$375)*X119</f>
        <v>16.080844134431175</v>
      </c>
      <c r="Z130" s="15" t="s">
        <v>18</v>
      </c>
      <c r="AB130" s="84" t="s">
        <v>536</v>
      </c>
      <c r="AC130" s="42">
        <f>LOOKUP(E$64,'Model homes'!$J$351:$J$375,'Model homes'!$N$351:$N$375)*AC119</f>
        <v>1.5164392945842682</v>
      </c>
      <c r="AD130" s="42">
        <f>LOOKUP(F$64,'Model homes'!$J$351:$J$375,'Model homes'!$N$351:$N$375)*AD119</f>
        <v>8.0812411753653474E-2</v>
      </c>
      <c r="AE130" s="42">
        <f>LOOKUP(G$64,'Model homes'!$J$351:$J$375,'Model homes'!$N$351:$N$375)*AE119</f>
        <v>4.2019561734170008</v>
      </c>
      <c r="AF130" s="42">
        <f>LOOKUP(H$64,'Model homes'!$J$351:$J$375,'Model homes'!$N$351:$N$375)*AF119</f>
        <v>0.63247437212332003</v>
      </c>
      <c r="AH130" s="15" t="s">
        <v>18</v>
      </c>
      <c r="AJ130" s="84" t="s">
        <v>536</v>
      </c>
      <c r="AK130" s="42">
        <f>LOOKUP(E$64,'Model homes'!$J$351:$J$375,'Model homes'!$O$351:$O$375)*AK119</f>
        <v>4.1832057855754785E-2</v>
      </c>
      <c r="AL130" s="42">
        <f>LOOKUP(F$64,'Model homes'!$J$351:$J$375,'Model homes'!$O$351:$O$375)*AL119</f>
        <v>2.2292679278458605E-3</v>
      </c>
      <c r="AM130" s="42">
        <f>LOOKUP(G$64,'Model homes'!$J$351:$J$375,'Model homes'!$O$351:$O$375)*AM119</f>
        <v>0.11591395341803978</v>
      </c>
      <c r="AN130" s="42">
        <f>LOOKUP(H$64,'Model homes'!$J$351:$J$375,'Model homes'!$O$351:$O$375)*AN119</f>
        <v>1.7447255964307021E-2</v>
      </c>
    </row>
    <row r="131" spans="3:40" x14ac:dyDescent="0.3">
      <c r="C131" s="15" t="s">
        <v>19</v>
      </c>
      <c r="D131" s="84" t="s">
        <v>536</v>
      </c>
      <c r="E131" s="42">
        <f>LOOKUP(E$64,'Model homes'!$C$203:$C$227,'Model homes'!$F$203:$F$227)*E120</f>
        <v>221.05566585911703</v>
      </c>
      <c r="F131" s="42">
        <f>LOOKUP(F$64,'Model homes'!$C$203:$C$227,'Model homes'!$F$203:$F$227)*F120</f>
        <v>11.643275230514524</v>
      </c>
      <c r="G131" s="42">
        <f>LOOKUP(G$64,'Model homes'!$C$203:$C$227,'Model homes'!$F$203:$F$227)*G120</f>
        <v>612.53109382144521</v>
      </c>
      <c r="H131" s="42">
        <f>LOOKUP(H$64,'Model homes'!$C$203:$C$227,'Model homes'!$F$203:$F$227)*H120</f>
        <v>91.125521823641805</v>
      </c>
      <c r="J131" s="15" t="s">
        <v>19</v>
      </c>
      <c r="L131" s="84" t="s">
        <v>536</v>
      </c>
      <c r="M131" s="42">
        <f>LOOKUP(E$64,'Model homes'!$J$351:$J$375,'Model homes'!$L$351:$L$375)*M120</f>
        <v>9.2241319410728764</v>
      </c>
      <c r="N131" s="42">
        <f>LOOKUP(F$64,'Model homes'!$J$351:$J$375,'Model homes'!$L$351:$L$375)*N120</f>
        <v>0.48584643390655785</v>
      </c>
      <c r="O131" s="42">
        <f>LOOKUP(G$64,'Model homes'!$J$351:$J$375,'Model homes'!$L$351:$L$375)*O120</f>
        <v>25.559478900756126</v>
      </c>
      <c r="P131" s="42">
        <f>LOOKUP(H$64,'Model homes'!$J$351:$J$375,'Model homes'!$L$351:$L$375)*P120</f>
        <v>3.8024532564394375</v>
      </c>
      <c r="R131" s="15" t="s">
        <v>19</v>
      </c>
      <c r="T131" s="84" t="s">
        <v>536</v>
      </c>
      <c r="U131" s="42">
        <f>LOOKUP(E$64,'Model homes'!$J$351:$J$375,'Model homes'!$M$351:$M$375)*U120</f>
        <v>38.555908366168012</v>
      </c>
      <c r="V131" s="42">
        <f>LOOKUP(F$64,'Model homes'!$J$351:$J$375,'Model homes'!$M$351:$M$375)*V120</f>
        <v>2.0307873635588916</v>
      </c>
      <c r="W131" s="42">
        <f>LOOKUP(G$64,'Model homes'!$J$351:$J$375,'Model homes'!$M$351:$M$375)*W120</f>
        <v>106.83595298507149</v>
      </c>
      <c r="X131" s="42">
        <f>LOOKUP(H$64,'Model homes'!$J$351:$J$375,'Model homes'!$M$351:$M$375)*X120</f>
        <v>15.893857574728486</v>
      </c>
      <c r="Z131" s="15" t="s">
        <v>19</v>
      </c>
      <c r="AB131" s="84" t="s">
        <v>536</v>
      </c>
      <c r="AC131" s="42">
        <f>LOOKUP(E$64,'Model homes'!$J$351:$J$375,'Model homes'!$N$351:$N$375)*AC120</f>
        <v>1.5164392945842682</v>
      </c>
      <c r="AD131" s="42">
        <f>LOOKUP(F$64,'Model homes'!$J$351:$J$375,'Model homes'!$N$351:$N$375)*AD120</f>
        <v>7.987273254721565E-2</v>
      </c>
      <c r="AE131" s="42">
        <f>LOOKUP(G$64,'Model homes'!$J$351:$J$375,'Model homes'!$N$351:$N$375)*AE120</f>
        <v>4.2019561734170008</v>
      </c>
      <c r="AF131" s="42">
        <f>LOOKUP(H$64,'Model homes'!$J$351:$J$375,'Model homes'!$N$351:$N$375)*AF120</f>
        <v>0.62512001895909552</v>
      </c>
      <c r="AH131" s="15" t="s">
        <v>19</v>
      </c>
      <c r="AJ131" s="84" t="s">
        <v>536</v>
      </c>
      <c r="AK131" s="42">
        <f>LOOKUP(E$64,'Model homes'!$J$351:$J$375,'Model homes'!$O$351:$O$375)*AK120</f>
        <v>4.1832057855754785E-2</v>
      </c>
      <c r="AL131" s="42">
        <f>LOOKUP(F$64,'Model homes'!$J$351:$J$375,'Model homes'!$O$351:$O$375)*AL120</f>
        <v>2.20334620775463E-3</v>
      </c>
      <c r="AM131" s="42">
        <f>LOOKUP(G$64,'Model homes'!$J$351:$J$375,'Model homes'!$O$351:$O$375)*AM120</f>
        <v>0.11591395341803978</v>
      </c>
      <c r="AN131" s="42">
        <f>LOOKUP(H$64,'Model homes'!$J$351:$J$375,'Model homes'!$O$351:$O$375)*AN120</f>
        <v>1.7244380894954617E-2</v>
      </c>
    </row>
    <row r="132" spans="3:40" x14ac:dyDescent="0.3">
      <c r="C132" s="14" t="s">
        <v>20</v>
      </c>
      <c r="D132" s="84" t="s">
        <v>536</v>
      </c>
      <c r="E132" s="42">
        <f>LOOKUP(E$64,'Model homes'!$C$203:$C$227,'Model homes'!$F$203:$F$227)*E121</f>
        <v>148.30401232901249</v>
      </c>
      <c r="F132" s="42">
        <f>LOOKUP(F$64,'Model homes'!$C$203:$C$227,'Model homes'!$F$203:$F$227)*F121</f>
        <v>8.2041681170392327</v>
      </c>
      <c r="G132" s="42">
        <f>LOOKUP(G$64,'Model homes'!$C$203:$C$227,'Model homes'!$F$203:$F$227)*G121</f>
        <v>401.49400314143645</v>
      </c>
      <c r="H132" s="42">
        <f>LOOKUP(H$64,'Model homes'!$C$203:$C$227,'Model homes'!$F$203:$F$227)*H121</f>
        <v>64.209518884751787</v>
      </c>
      <c r="J132" s="14" t="s">
        <v>20</v>
      </c>
      <c r="L132" s="84" t="s">
        <v>536</v>
      </c>
      <c r="M132" s="42">
        <f>LOOKUP(E$64,'Model homes'!$J$351:$J$375,'Model homes'!$L$351:$L$375)*M121</f>
        <v>0</v>
      </c>
      <c r="N132" s="42">
        <f>LOOKUP(F$64,'Model homes'!$J$351:$J$375,'Model homes'!$L$351:$L$375)*N121</f>
        <v>0</v>
      </c>
      <c r="O132" s="42">
        <f>LOOKUP(G$64,'Model homes'!$J$351:$J$375,'Model homes'!$L$351:$L$375)*O121</f>
        <v>0</v>
      </c>
      <c r="P132" s="42">
        <f>LOOKUP(H$64,'Model homes'!$J$351:$J$375,'Model homes'!$L$351:$L$375)*P121</f>
        <v>0</v>
      </c>
      <c r="R132" s="14" t="s">
        <v>20</v>
      </c>
      <c r="T132" s="84" t="s">
        <v>536</v>
      </c>
      <c r="U132" s="42">
        <f>LOOKUP(E$64,'Model homes'!$J$351:$J$375,'Model homes'!$M$351:$M$375)*U121</f>
        <v>6.739183983330209</v>
      </c>
      <c r="V132" s="42">
        <f>LOOKUP(F$64,'Model homes'!$J$351:$J$375,'Model homes'!$M$351:$M$375)*V121</f>
        <v>0.37281121058437461</v>
      </c>
      <c r="W132" s="42">
        <f>LOOKUP(G$64,'Model homes'!$J$351:$J$375,'Model homes'!$M$351:$M$375)*W121</f>
        <v>18.244563399749481</v>
      </c>
      <c r="X132" s="42">
        <f>LOOKUP(H$64,'Model homes'!$J$351:$J$375,'Model homes'!$M$351:$M$375)*X121</f>
        <v>2.9177886319452297</v>
      </c>
      <c r="Z132" s="14" t="s">
        <v>20</v>
      </c>
      <c r="AB132" s="84" t="s">
        <v>536</v>
      </c>
      <c r="AC132" s="42">
        <f>LOOKUP(E$64,'Model homes'!$J$351:$J$375,'Model homes'!$N$351:$N$375)*AC121</f>
        <v>0</v>
      </c>
      <c r="AD132" s="42">
        <f>LOOKUP(F$64,'Model homes'!$J$351:$J$375,'Model homes'!$N$351:$N$375)*AD121</f>
        <v>0</v>
      </c>
      <c r="AE132" s="42">
        <f>LOOKUP(G$64,'Model homes'!$J$351:$J$375,'Model homes'!$N$351:$N$375)*AE121</f>
        <v>0</v>
      </c>
      <c r="AF132" s="42">
        <f>LOOKUP(H$64,'Model homes'!$J$351:$J$375,'Model homes'!$N$351:$N$375)*AF121</f>
        <v>0</v>
      </c>
      <c r="AH132" s="14" t="s">
        <v>20</v>
      </c>
      <c r="AJ132" s="84" t="s">
        <v>536</v>
      </c>
      <c r="AK132" s="42">
        <f>LOOKUP(E$64,'Model homes'!$J$351:$J$375,'Model homes'!$O$351:$O$375)*AK121</f>
        <v>0</v>
      </c>
      <c r="AL132" s="42">
        <f>LOOKUP(F$64,'Model homes'!$J$351:$J$375,'Model homes'!$O$351:$O$375)*AL121</f>
        <v>0</v>
      </c>
      <c r="AM132" s="42">
        <f>LOOKUP(G$64,'Model homes'!$J$351:$J$375,'Model homes'!$O$351:$O$375)*AM121</f>
        <v>0</v>
      </c>
      <c r="AN132" s="42">
        <f>LOOKUP(H$64,'Model homes'!$J$351:$J$375,'Model homes'!$O$351:$O$375)*AN121</f>
        <v>0</v>
      </c>
    </row>
    <row r="133" spans="3:40" x14ac:dyDescent="0.3">
      <c r="C133" s="14" t="s">
        <v>21</v>
      </c>
      <c r="D133" s="84" t="s">
        <v>536</v>
      </c>
      <c r="E133" s="42" t="e">
        <f>LOOKUP(E$64,'Model homes'!$C$203:$C$227,'Model homes'!$F$203:$F$227)*E122</f>
        <v>#N/A</v>
      </c>
      <c r="F133" s="42" t="e">
        <f>LOOKUP(F$64,'Model homes'!$C$203:$C$227,'Model homes'!$F$203:$F$227)*F122</f>
        <v>#N/A</v>
      </c>
      <c r="G133" s="42" t="e">
        <f>LOOKUP(G$64,'Model homes'!$C$203:$C$227,'Model homes'!$F$203:$F$227)*G122</f>
        <v>#N/A</v>
      </c>
      <c r="H133" s="42" t="e">
        <f>LOOKUP(H$64,'Model homes'!$C$203:$C$227,'Model homes'!$F$203:$F$227)*H122</f>
        <v>#N/A</v>
      </c>
      <c r="J133" s="14" t="s">
        <v>21</v>
      </c>
      <c r="L133" s="84" t="s">
        <v>536</v>
      </c>
      <c r="M133" s="159" t="e">
        <f>LOOKUP(E$64,'Model homes'!$C$351:$C$375,'Model homes'!$E$351:$E$375)*M122</f>
        <v>#DIV/0!</v>
      </c>
      <c r="N133" s="159" t="e">
        <f>LOOKUP(F$64,'Model homes'!$C$351:$C$375,'Model homes'!$E$351:$E$375)*N122</f>
        <v>#DIV/0!</v>
      </c>
      <c r="O133" s="159" t="e">
        <f>LOOKUP(G$64,'Model homes'!$C$351:$C$375,'Model homes'!$E$351:$E$375)*O122</f>
        <v>#DIV/0!</v>
      </c>
      <c r="P133" s="159" t="e">
        <f>LOOKUP(H$64,'Model homes'!$C$351:$C$375,'Model homes'!$E$351:$E$375)*P122</f>
        <v>#DIV/0!</v>
      </c>
      <c r="R133" s="14" t="s">
        <v>21</v>
      </c>
      <c r="T133" s="84" t="s">
        <v>536</v>
      </c>
      <c r="U133" s="159" t="e">
        <f>LOOKUP(E$64,'Model homes'!$C$351:$C$375,'Model homes'!$F$351:$F$375)*U122</f>
        <v>#DIV/0!</v>
      </c>
      <c r="V133" s="159" t="e">
        <f>LOOKUP(F$64,'Model homes'!$C$351:$C$375,'Model homes'!$F$351:$F$375)*V122</f>
        <v>#DIV/0!</v>
      </c>
      <c r="W133" s="159" t="e">
        <f>LOOKUP(G$64,'Model homes'!$C$351:$C$375,'Model homes'!$F$351:$F$375)*W122</f>
        <v>#DIV/0!</v>
      </c>
      <c r="X133" s="159" t="e">
        <f>LOOKUP(H$64,'Model homes'!$C$351:$C$375,'Model homes'!$F$351:$F$375)*X122</f>
        <v>#DIV/0!</v>
      </c>
      <c r="Z133" s="14" t="s">
        <v>21</v>
      </c>
      <c r="AB133" s="84" t="s">
        <v>536</v>
      </c>
      <c r="AC133" s="159" t="e">
        <f>LOOKUP(E$64,'Model homes'!$C$351:$C$375,'Model homes'!$G$351:$G$375)*AC122</f>
        <v>#DIV/0!</v>
      </c>
      <c r="AD133" s="159" t="e">
        <f>LOOKUP(F$64,'Model homes'!$C$351:$C$375,'Model homes'!$G$351:$G$375)*AD122</f>
        <v>#DIV/0!</v>
      </c>
      <c r="AE133" s="159" t="e">
        <f>LOOKUP(G$64,'Model homes'!$C$351:$C$375,'Model homes'!$G$351:$G$375)*AE122</f>
        <v>#DIV/0!</v>
      </c>
      <c r="AF133" s="159" t="e">
        <f>LOOKUP(H$64,'Model homes'!$C$351:$C$375,'Model homes'!$G$351:$G$375)*AF122</f>
        <v>#DIV/0!</v>
      </c>
      <c r="AH133" s="14" t="s">
        <v>21</v>
      </c>
      <c r="AJ133" s="84" t="s">
        <v>536</v>
      </c>
      <c r="AK133" s="159" t="e">
        <f>LOOKUP(E$64,'Model homes'!$C$351:$C$375,'Model homes'!$H$351:$H$375)*AK122</f>
        <v>#DIV/0!</v>
      </c>
      <c r="AL133" s="159" t="e">
        <f>LOOKUP(F$64,'Model homes'!$C$351:$C$375,'Model homes'!$H$351:$H$375)*AL122</f>
        <v>#DIV/0!</v>
      </c>
      <c r="AM133" s="159" t="e">
        <f>LOOKUP(G$64,'Model homes'!$C$351:$C$375,'Model homes'!$H$351:$H$375)*AM122</f>
        <v>#DIV/0!</v>
      </c>
      <c r="AN133" s="159" t="e">
        <f>LOOKUP(H$64,'Model homes'!$C$351:$C$375,'Model homes'!$H$351:$H$375)*AN122</f>
        <v>#DIV/0!</v>
      </c>
    </row>
    <row r="134" spans="3:40" x14ac:dyDescent="0.3">
      <c r="C134" s="14" t="s">
        <v>22</v>
      </c>
      <c r="D134" s="84" t="s">
        <v>536</v>
      </c>
      <c r="E134" s="42" t="e">
        <f>LOOKUP(E$64,'Model homes'!$C$203:$C$227,'Model homes'!$F$203:$F$227)*E123</f>
        <v>#N/A</v>
      </c>
      <c r="F134" s="42" t="e">
        <f>LOOKUP(F$64,'Model homes'!$C$203:$C$227,'Model homes'!$F$203:$F$227)*F123</f>
        <v>#N/A</v>
      </c>
      <c r="G134" s="42" t="e">
        <f>LOOKUP(G$64,'Model homes'!$C$203:$C$227,'Model homes'!$F$203:$F$227)*G123</f>
        <v>#N/A</v>
      </c>
      <c r="H134" s="42" t="e">
        <f>LOOKUP(H$64,'Model homes'!$C$203:$C$227,'Model homes'!$F$203:$F$227)*H123</f>
        <v>#N/A</v>
      </c>
      <c r="J134" s="14" t="s">
        <v>22</v>
      </c>
      <c r="L134" s="84" t="s">
        <v>536</v>
      </c>
      <c r="M134" s="159" t="e">
        <f>LOOKUP(E$64,'Model homes'!$C$351:$C$375,'Model homes'!$E$351:$E$375)*M123</f>
        <v>#DIV/0!</v>
      </c>
      <c r="N134" s="159" t="e">
        <f>LOOKUP(F$64,'Model homes'!$C$351:$C$375,'Model homes'!$E$351:$E$375)*N123</f>
        <v>#DIV/0!</v>
      </c>
      <c r="O134" s="159" t="e">
        <f>LOOKUP(G$64,'Model homes'!$C$351:$C$375,'Model homes'!$E$351:$E$375)*O123</f>
        <v>#DIV/0!</v>
      </c>
      <c r="P134" s="159" t="e">
        <f>LOOKUP(H$64,'Model homes'!$C$351:$C$375,'Model homes'!$E$351:$E$375)*P123</f>
        <v>#DIV/0!</v>
      </c>
      <c r="R134" s="14" t="s">
        <v>22</v>
      </c>
      <c r="T134" s="84" t="s">
        <v>536</v>
      </c>
      <c r="U134" s="159" t="e">
        <f>LOOKUP(E$64,'Model homes'!$C$351:$C$375,'Model homes'!$F$351:$F$375)*U123</f>
        <v>#DIV/0!</v>
      </c>
      <c r="V134" s="159" t="e">
        <f>LOOKUP(F$64,'Model homes'!$C$351:$C$375,'Model homes'!$F$351:$F$375)*V123</f>
        <v>#DIV/0!</v>
      </c>
      <c r="W134" s="159" t="e">
        <f>LOOKUP(G$64,'Model homes'!$C$351:$C$375,'Model homes'!$F$351:$F$375)*W123</f>
        <v>#DIV/0!</v>
      </c>
      <c r="X134" s="159" t="e">
        <f>LOOKUP(H$64,'Model homes'!$C$351:$C$375,'Model homes'!$F$351:$F$375)*X123</f>
        <v>#DIV/0!</v>
      </c>
      <c r="Z134" s="14" t="s">
        <v>22</v>
      </c>
      <c r="AB134" s="84" t="s">
        <v>536</v>
      </c>
      <c r="AC134" s="159" t="e">
        <f>LOOKUP(E$64,'Model homes'!$C$351:$C$375,'Model homes'!$G$351:$G$375)*AC123</f>
        <v>#DIV/0!</v>
      </c>
      <c r="AD134" s="159" t="e">
        <f>LOOKUP(F$64,'Model homes'!$C$351:$C$375,'Model homes'!$G$351:$G$375)*AD123</f>
        <v>#DIV/0!</v>
      </c>
      <c r="AE134" s="159" t="e">
        <f>LOOKUP(G$64,'Model homes'!$C$351:$C$375,'Model homes'!$G$351:$G$375)*AE123</f>
        <v>#DIV/0!</v>
      </c>
      <c r="AF134" s="159" t="e">
        <f>LOOKUP(H$64,'Model homes'!$C$351:$C$375,'Model homes'!$G$351:$G$375)*AF123</f>
        <v>#DIV/0!</v>
      </c>
      <c r="AH134" s="14" t="s">
        <v>22</v>
      </c>
      <c r="AJ134" s="84" t="s">
        <v>536</v>
      </c>
      <c r="AK134" s="159" t="e">
        <f>LOOKUP(E$64,'Model homes'!$C$351:$C$375,'Model homes'!$H$351:$H$375)*AK123</f>
        <v>#DIV/0!</v>
      </c>
      <c r="AL134" s="159" t="e">
        <f>LOOKUP(F$64,'Model homes'!$C$351:$C$375,'Model homes'!$H$351:$H$375)*AL123</f>
        <v>#DIV/0!</v>
      </c>
      <c r="AM134" s="159" t="e">
        <f>LOOKUP(G$64,'Model homes'!$C$351:$C$375,'Model homes'!$H$351:$H$375)*AM123</f>
        <v>#DIV/0!</v>
      </c>
      <c r="AN134" s="159" t="e">
        <f>LOOKUP(H$64,'Model homes'!$C$351:$C$375,'Model homes'!$H$351:$H$375)*AN123</f>
        <v>#DIV/0!</v>
      </c>
    </row>
    <row r="136" spans="3:40" x14ac:dyDescent="0.3">
      <c r="C136" s="15" t="s">
        <v>303</v>
      </c>
      <c r="D136" s="17" t="s">
        <v>301</v>
      </c>
      <c r="E136" s="94">
        <f>'Model homes'!E$170</f>
        <v>0.03</v>
      </c>
    </row>
    <row r="138" spans="3:40" x14ac:dyDescent="0.3">
      <c r="C138" s="51" t="s">
        <v>537</v>
      </c>
      <c r="E138" s="106"/>
      <c r="J138" s="51" t="s">
        <v>538</v>
      </c>
    </row>
    <row r="139" spans="3:40" x14ac:dyDescent="0.3">
      <c r="C139" s="20" t="s">
        <v>14</v>
      </c>
      <c r="D139" s="84" t="s">
        <v>536</v>
      </c>
      <c r="E139" s="159" t="e">
        <f t="shared" ref="E139:E147" si="21">M126+U126+AC126+AK126</f>
        <v>#DIV/0!</v>
      </c>
      <c r="F139" s="159" t="e">
        <f t="shared" ref="F139:F147" si="22">N126+V126+AD126+AL126</f>
        <v>#DIV/0!</v>
      </c>
      <c r="G139" s="159" t="e">
        <f t="shared" ref="G139:G147" si="23">O126+W126+AE126+AM126</f>
        <v>#DIV/0!</v>
      </c>
      <c r="H139" s="159" t="e">
        <f t="shared" ref="H139:H147" si="24">P126+X126+AF126+AN126</f>
        <v>#DIV/0!</v>
      </c>
      <c r="J139" s="63">
        <f>(1-(((1+'Model homes'!$E159)/(1+E$136))^E$64))/(E$136-'Model homes'!$E159)</f>
        <v>22.909194708310952</v>
      </c>
    </row>
    <row r="140" spans="3:40" x14ac:dyDescent="0.3">
      <c r="C140" s="14" t="s">
        <v>15</v>
      </c>
      <c r="D140" s="84" t="s">
        <v>536</v>
      </c>
      <c r="E140" s="42">
        <f t="shared" si="21"/>
        <v>35.392701647085183</v>
      </c>
      <c r="F140" s="42">
        <f t="shared" si="22"/>
        <v>1.8608484665928045</v>
      </c>
      <c r="G140" s="42">
        <f t="shared" si="23"/>
        <v>95.143419893504301</v>
      </c>
      <c r="H140" s="42">
        <f t="shared" si="24"/>
        <v>14.563839142837097</v>
      </c>
      <c r="J140" s="63">
        <f>(1-(((1+'Model homes'!$E160)/(1+E$136))^E$64))/(E$136-'Model homes'!$E160)</f>
        <v>21.643744007958169</v>
      </c>
    </row>
    <row r="141" spans="3:40" x14ac:dyDescent="0.3">
      <c r="C141" s="15" t="s">
        <v>16</v>
      </c>
      <c r="D141" s="84" t="s">
        <v>536</v>
      </c>
      <c r="E141" s="42">
        <f t="shared" si="21"/>
        <v>28.756570088256705</v>
      </c>
      <c r="F141" s="42">
        <f t="shared" si="22"/>
        <v>1.5507070554940041</v>
      </c>
      <c r="G141" s="42">
        <f t="shared" si="23"/>
        <v>77.73913576664377</v>
      </c>
      <c r="H141" s="42">
        <f t="shared" si="24"/>
        <v>12.136532619030914</v>
      </c>
      <c r="J141" s="63">
        <f>(1-(((1+'Model homes'!$E161)/(1+E$136))^E$64))/(E$136-'Model homes'!$E161)</f>
        <v>22.909194708310952</v>
      </c>
    </row>
    <row r="142" spans="3:40" x14ac:dyDescent="0.3">
      <c r="C142" s="15" t="s">
        <v>17</v>
      </c>
      <c r="D142" s="84" t="s">
        <v>536</v>
      </c>
      <c r="E142" s="42">
        <f t="shared" si="21"/>
        <v>32.882730356288192</v>
      </c>
      <c r="F142" s="42">
        <f t="shared" si="22"/>
        <v>1.728881252723552</v>
      </c>
      <c r="G142" s="42">
        <f t="shared" si="23"/>
        <v>91.115940026660638</v>
      </c>
      <c r="H142" s="42">
        <f t="shared" si="24"/>
        <v>13.531004224022213</v>
      </c>
      <c r="J142" s="63">
        <f>(1-(((1+'Model homes'!$E162)/(1+E$136))^E$64))/(E$136-'Model homes'!$E162)</f>
        <v>22.909194708310952</v>
      </c>
    </row>
    <row r="143" spans="3:40" x14ac:dyDescent="0.3">
      <c r="C143" s="15" t="s">
        <v>18</v>
      </c>
      <c r="D143" s="84" t="s">
        <v>536</v>
      </c>
      <c r="E143" s="42">
        <f t="shared" si="21"/>
        <v>49.338311659680912</v>
      </c>
      <c r="F143" s="42">
        <f t="shared" si="22"/>
        <v>2.6292829335877186</v>
      </c>
      <c r="G143" s="42">
        <f t="shared" si="23"/>
        <v>136.71330201266264</v>
      </c>
      <c r="H143" s="42">
        <f t="shared" si="24"/>
        <v>20.57795376315164</v>
      </c>
      <c r="J143" s="63">
        <f>(1-(((1+'Model homes'!$E163)/(1+E$136))^E$64))/(E$136-'Model homes'!$E163)</f>
        <v>22.909194708310952</v>
      </c>
    </row>
    <row r="144" spans="3:40" x14ac:dyDescent="0.3">
      <c r="C144" s="15" t="s">
        <v>19</v>
      </c>
      <c r="D144" s="84" t="s">
        <v>536</v>
      </c>
      <c r="E144" s="42">
        <f t="shared" si="21"/>
        <v>49.338311659680912</v>
      </c>
      <c r="F144" s="42">
        <f t="shared" si="22"/>
        <v>2.5987098762204197</v>
      </c>
      <c r="G144" s="42">
        <f t="shared" si="23"/>
        <v>136.71330201266264</v>
      </c>
      <c r="H144" s="42">
        <f t="shared" si="24"/>
        <v>20.338675231021973</v>
      </c>
      <c r="J144" s="63">
        <f>(1-(((1+'Model homes'!$E164)/(1+E$136))^E$64))/(E$136-'Model homes'!$E164)</f>
        <v>22.909194708310952</v>
      </c>
    </row>
    <row r="145" spans="2:14" x14ac:dyDescent="0.3">
      <c r="C145" s="14" t="s">
        <v>20</v>
      </c>
      <c r="D145" s="84" t="s">
        <v>536</v>
      </c>
      <c r="E145" s="42">
        <f t="shared" si="21"/>
        <v>6.739183983330209</v>
      </c>
      <c r="F145" s="42">
        <f t="shared" si="22"/>
        <v>0.37281121058437461</v>
      </c>
      <c r="G145" s="42">
        <f t="shared" si="23"/>
        <v>18.244563399749481</v>
      </c>
      <c r="H145" s="42">
        <f t="shared" si="24"/>
        <v>2.9177886319452297</v>
      </c>
      <c r="J145" s="63">
        <f>(1-(((1+'Model homes'!$E165)/(1+E$136))^E$64))/(E$136-'Model homes'!$E165)</f>
        <v>23.991159519596025</v>
      </c>
    </row>
    <row r="146" spans="2:14" x14ac:dyDescent="0.3">
      <c r="C146" s="14" t="s">
        <v>21</v>
      </c>
      <c r="D146" s="84" t="s">
        <v>536</v>
      </c>
      <c r="E146" s="159" t="e">
        <f t="shared" si="21"/>
        <v>#DIV/0!</v>
      </c>
      <c r="F146" s="159" t="e">
        <f t="shared" si="22"/>
        <v>#DIV/0!</v>
      </c>
      <c r="G146" s="159" t="e">
        <f t="shared" si="23"/>
        <v>#DIV/0!</v>
      </c>
      <c r="H146" s="159" t="e">
        <f t="shared" si="24"/>
        <v>#DIV/0!</v>
      </c>
      <c r="J146" s="63">
        <f>(1-(((1+'Model homes'!$E166)/(1+E$136))^E$64))/(E$136-'Model homes'!$E166)</f>
        <v>22.909194708310952</v>
      </c>
    </row>
    <row r="147" spans="2:14" ht="17.100000000000001" customHeight="1" x14ac:dyDescent="0.3">
      <c r="C147" s="14" t="s">
        <v>22</v>
      </c>
      <c r="D147" s="84" t="s">
        <v>536</v>
      </c>
      <c r="E147" s="159" t="e">
        <f t="shared" si="21"/>
        <v>#DIV/0!</v>
      </c>
      <c r="F147" s="159" t="e">
        <f t="shared" si="22"/>
        <v>#DIV/0!</v>
      </c>
      <c r="G147" s="159" t="e">
        <f t="shared" si="23"/>
        <v>#DIV/0!</v>
      </c>
      <c r="H147" s="159" t="e">
        <f t="shared" si="24"/>
        <v>#DIV/0!</v>
      </c>
      <c r="J147" s="63">
        <f>(1-(((1+'Model homes'!$E167)/(1+E$136))^E$64))/(E$136-'Model homes'!$E167)</f>
        <v>22.909194708310952</v>
      </c>
    </row>
    <row r="149" spans="2:14" ht="20.25" x14ac:dyDescent="0.35">
      <c r="C149" s="81" t="s">
        <v>709</v>
      </c>
    </row>
    <row r="150" spans="2:14" s="18" customFormat="1" ht="17.25" thickBot="1" x14ac:dyDescent="0.35">
      <c r="B150" s="19" t="s">
        <v>153</v>
      </c>
      <c r="C150" s="19" t="s">
        <v>154</v>
      </c>
      <c r="D150" s="19" t="s">
        <v>32</v>
      </c>
      <c r="E150" s="19" t="s">
        <v>155</v>
      </c>
      <c r="F150" s="19"/>
      <c r="G150" s="19" t="s">
        <v>155</v>
      </c>
      <c r="H150" s="19"/>
      <c r="I150" s="19"/>
      <c r="J150" s="56" t="s">
        <v>156</v>
      </c>
      <c r="K150" s="56"/>
    </row>
    <row r="151" spans="2:14" s="30" customFormat="1" ht="18" thickTop="1" thickBot="1" x14ac:dyDescent="0.35">
      <c r="B151" s="28"/>
      <c r="C151" s="29" t="s">
        <v>157</v>
      </c>
      <c r="D151" s="29"/>
      <c r="E151" s="335" t="s">
        <v>5</v>
      </c>
      <c r="F151" s="335"/>
      <c r="G151" s="335" t="s">
        <v>6</v>
      </c>
      <c r="H151" s="335"/>
      <c r="I151" s="28"/>
      <c r="J151" s="28"/>
      <c r="K151" s="57"/>
      <c r="M151" s="20"/>
    </row>
    <row r="152" spans="2:14" ht="18" thickTop="1" thickBot="1" x14ac:dyDescent="0.35">
      <c r="B152" s="19"/>
      <c r="C152" s="29" t="s">
        <v>158</v>
      </c>
      <c r="D152" s="29"/>
      <c r="E152" s="29" t="s">
        <v>7</v>
      </c>
      <c r="F152" s="29" t="s">
        <v>8</v>
      </c>
      <c r="G152" s="29" t="s">
        <v>7</v>
      </c>
      <c r="H152" s="29" t="s">
        <v>8</v>
      </c>
      <c r="I152" s="19"/>
      <c r="J152" s="19"/>
      <c r="K152" s="56"/>
      <c r="M152" s="82"/>
      <c r="N152" s="82"/>
    </row>
    <row r="153" spans="2:14" ht="17.25" thickTop="1" x14ac:dyDescent="0.3">
      <c r="C153" s="20" t="s">
        <v>14</v>
      </c>
      <c r="D153" s="20" t="s">
        <v>540</v>
      </c>
      <c r="E153" s="38">
        <f>'Campaign Input'!$G$12*'Data Input'!B$9*'Data Input'!B16</f>
        <v>0</v>
      </c>
      <c r="F153" s="38">
        <f>'Campaign Input'!$G$12*'Data Input'!C$9*'Data Input'!C16</f>
        <v>0</v>
      </c>
      <c r="G153" s="38">
        <f>'Campaign Input'!$G$12*'Data Input'!D$9*'Data Input'!D16</f>
        <v>0</v>
      </c>
      <c r="H153" s="38">
        <f>'Campaign Input'!$G$12*'Data Input'!E$9*'Data Input'!E16</f>
        <v>0</v>
      </c>
    </row>
    <row r="154" spans="2:14" x14ac:dyDescent="0.3">
      <c r="C154" s="14" t="s">
        <v>15</v>
      </c>
      <c r="D154" s="20" t="s">
        <v>540</v>
      </c>
      <c r="E154" s="38">
        <f>'Campaign Input'!$G$12*'Data Input'!B$9*'Data Input'!B17</f>
        <v>0</v>
      </c>
      <c r="F154" s="38">
        <f>'Campaign Input'!$G$12*'Data Input'!C$9*'Data Input'!C17</f>
        <v>0</v>
      </c>
      <c r="G154" s="38">
        <f>'Campaign Input'!$G$12*'Data Input'!D$9*'Data Input'!D17</f>
        <v>0</v>
      </c>
      <c r="H154" s="38">
        <f>'Campaign Input'!$G$12*'Data Input'!E$9*'Data Input'!E17</f>
        <v>0</v>
      </c>
    </row>
    <row r="155" spans="2:14" x14ac:dyDescent="0.3">
      <c r="C155" s="15" t="s">
        <v>16</v>
      </c>
      <c r="D155" s="20" t="s">
        <v>540</v>
      </c>
      <c r="E155" s="38">
        <f>'Campaign Input'!$G$12*'Data Input'!B$9*'Data Input'!B18</f>
        <v>0</v>
      </c>
      <c r="F155" s="38">
        <f>'Campaign Input'!$G$12*'Data Input'!C$9*'Data Input'!C18</f>
        <v>0</v>
      </c>
      <c r="G155" s="38">
        <f>'Campaign Input'!$G$12*'Data Input'!D$9*'Data Input'!D18</f>
        <v>0</v>
      </c>
      <c r="H155" s="38">
        <f>'Campaign Input'!$G$12*'Data Input'!E$9*'Data Input'!E18</f>
        <v>0</v>
      </c>
    </row>
    <row r="156" spans="2:14" x14ac:dyDescent="0.3">
      <c r="C156" s="15" t="s">
        <v>17</v>
      </c>
      <c r="D156" s="20" t="s">
        <v>540</v>
      </c>
      <c r="E156" s="38">
        <f>'Campaign Input'!$G$12*'Data Input'!B$9*'Data Input'!B19</f>
        <v>0</v>
      </c>
      <c r="F156" s="38">
        <f>'Campaign Input'!$G$12*'Data Input'!C$9*'Data Input'!C19</f>
        <v>0</v>
      </c>
      <c r="G156" s="38">
        <f>'Campaign Input'!$G$12*'Data Input'!D$9*'Data Input'!D19</f>
        <v>0</v>
      </c>
      <c r="H156" s="38">
        <f>'Campaign Input'!$G$12*'Data Input'!E$9*'Data Input'!E19</f>
        <v>0</v>
      </c>
    </row>
    <row r="157" spans="2:14" x14ac:dyDescent="0.3">
      <c r="C157" s="15" t="s">
        <v>18</v>
      </c>
      <c r="D157" s="20" t="s">
        <v>540</v>
      </c>
      <c r="E157" s="38">
        <f>'Campaign Input'!$G$12*'Data Input'!B$9*'Data Input'!B20</f>
        <v>0</v>
      </c>
      <c r="F157" s="38">
        <f>'Campaign Input'!$G$12*'Data Input'!C$9*'Data Input'!C20</f>
        <v>0</v>
      </c>
      <c r="G157" s="38">
        <f>'Campaign Input'!$G$12*'Data Input'!D$9*'Data Input'!D20</f>
        <v>0</v>
      </c>
      <c r="H157" s="38">
        <f>'Campaign Input'!$G$12*'Data Input'!E$9*'Data Input'!E20</f>
        <v>0</v>
      </c>
    </row>
    <row r="158" spans="2:14" x14ac:dyDescent="0.3">
      <c r="C158" s="15" t="s">
        <v>19</v>
      </c>
      <c r="D158" s="20" t="s">
        <v>540</v>
      </c>
      <c r="E158" s="38">
        <f>'Campaign Input'!$G$12*'Data Input'!B$9*'Data Input'!B21</f>
        <v>0</v>
      </c>
      <c r="F158" s="38">
        <f>'Campaign Input'!$G$12*'Data Input'!C$9*'Data Input'!C21</f>
        <v>0</v>
      </c>
      <c r="G158" s="38">
        <f>'Campaign Input'!$G$12*'Data Input'!D$9*'Data Input'!D21</f>
        <v>0</v>
      </c>
      <c r="H158" s="38">
        <f>'Campaign Input'!$G$12*'Data Input'!E$9*'Data Input'!E21</f>
        <v>0</v>
      </c>
    </row>
    <row r="159" spans="2:14" x14ac:dyDescent="0.3">
      <c r="C159" s="14" t="s">
        <v>20</v>
      </c>
      <c r="D159" s="20" t="s">
        <v>540</v>
      </c>
      <c r="E159" s="38">
        <f>'Campaign Input'!$G$12*'Data Input'!B$9*'Data Input'!B22</f>
        <v>0</v>
      </c>
      <c r="F159" s="38">
        <f>'Campaign Input'!$G$12*'Data Input'!C$9*'Data Input'!C22</f>
        <v>0</v>
      </c>
      <c r="G159" s="38">
        <f>'Campaign Input'!$G$12*'Data Input'!D$9*'Data Input'!D22</f>
        <v>0</v>
      </c>
      <c r="H159" s="38">
        <f>'Campaign Input'!$G$12*'Data Input'!E$9*'Data Input'!E22</f>
        <v>0</v>
      </c>
    </row>
    <row r="160" spans="2:14" x14ac:dyDescent="0.3">
      <c r="C160" s="14" t="s">
        <v>21</v>
      </c>
      <c r="D160" s="20" t="s">
        <v>540</v>
      </c>
      <c r="E160" s="38">
        <f>'Campaign Input'!$G$12*'Data Input'!B$9*'Data Input'!B23</f>
        <v>0</v>
      </c>
      <c r="F160" s="38">
        <f>'Campaign Input'!$G$12*'Data Input'!C$9*'Data Input'!C23</f>
        <v>0</v>
      </c>
      <c r="G160" s="38">
        <f>'Campaign Input'!$G$12*'Data Input'!D$9*'Data Input'!D23</f>
        <v>0</v>
      </c>
      <c r="H160" s="38">
        <f>'Campaign Input'!$G$12*'Data Input'!E$9*'Data Input'!E23</f>
        <v>0</v>
      </c>
    </row>
    <row r="161" spans="3:10" x14ac:dyDescent="0.3">
      <c r="C161" s="14" t="s">
        <v>22</v>
      </c>
      <c r="D161" s="20" t="s">
        <v>540</v>
      </c>
      <c r="E161" s="38">
        <f>'Campaign Input'!$G$12*'Data Input'!B$9*'Data Input'!B24</f>
        <v>0</v>
      </c>
      <c r="F161" s="38">
        <f>'Campaign Input'!$G$12*'Data Input'!C$9*'Data Input'!C24</f>
        <v>0</v>
      </c>
      <c r="G161" s="38">
        <f>'Campaign Input'!$G$12*'Data Input'!D$9*'Data Input'!D24</f>
        <v>0</v>
      </c>
      <c r="H161" s="38">
        <f>'Campaign Input'!$G$12*'Data Input'!E$9*'Data Input'!E24</f>
        <v>0</v>
      </c>
    </row>
    <row r="163" spans="3:10" x14ac:dyDescent="0.3">
      <c r="C163" s="51" t="s">
        <v>603</v>
      </c>
      <c r="D163" s="207"/>
      <c r="E163" s="208"/>
    </row>
    <row r="164" spans="3:10" x14ac:dyDescent="0.3">
      <c r="C164" s="209" t="s">
        <v>14</v>
      </c>
      <c r="D164" s="210" t="s">
        <v>69</v>
      </c>
      <c r="E164" s="42">
        <f>E$57*E153</f>
        <v>0</v>
      </c>
      <c r="F164" s="42">
        <f t="shared" ref="F164:H164" si="25">F$57*F153</f>
        <v>0</v>
      </c>
      <c r="G164" s="42">
        <f t="shared" si="25"/>
        <v>0</v>
      </c>
      <c r="H164" s="42">
        <f t="shared" si="25"/>
        <v>0</v>
      </c>
    </row>
    <row r="165" spans="3:10" x14ac:dyDescent="0.3">
      <c r="C165" s="213" t="s">
        <v>15</v>
      </c>
      <c r="D165" s="210" t="s">
        <v>69</v>
      </c>
      <c r="E165" s="42">
        <f t="shared" ref="E165:H172" si="26">E$57*E154</f>
        <v>0</v>
      </c>
      <c r="F165" s="42">
        <f t="shared" si="26"/>
        <v>0</v>
      </c>
      <c r="G165" s="42">
        <f t="shared" si="26"/>
        <v>0</v>
      </c>
      <c r="H165" s="42">
        <f t="shared" si="26"/>
        <v>0</v>
      </c>
    </row>
    <row r="166" spans="3:10" x14ac:dyDescent="0.3">
      <c r="C166" s="210" t="s">
        <v>16</v>
      </c>
      <c r="D166" s="210" t="s">
        <v>69</v>
      </c>
      <c r="E166" s="42">
        <f t="shared" si="26"/>
        <v>0</v>
      </c>
      <c r="F166" s="42">
        <f t="shared" si="26"/>
        <v>0</v>
      </c>
      <c r="G166" s="42">
        <f t="shared" si="26"/>
        <v>0</v>
      </c>
      <c r="H166" s="42">
        <f t="shared" si="26"/>
        <v>0</v>
      </c>
    </row>
    <row r="167" spans="3:10" x14ac:dyDescent="0.3">
      <c r="C167" s="210" t="s">
        <v>17</v>
      </c>
      <c r="D167" s="210" t="s">
        <v>69</v>
      </c>
      <c r="E167" s="42">
        <f t="shared" si="26"/>
        <v>0</v>
      </c>
      <c r="F167" s="42">
        <f t="shared" si="26"/>
        <v>0</v>
      </c>
      <c r="G167" s="42">
        <f t="shared" si="26"/>
        <v>0</v>
      </c>
      <c r="H167" s="42">
        <f t="shared" si="26"/>
        <v>0</v>
      </c>
    </row>
    <row r="168" spans="3:10" x14ac:dyDescent="0.3">
      <c r="C168" s="210" t="s">
        <v>18</v>
      </c>
      <c r="D168" s="210" t="s">
        <v>69</v>
      </c>
      <c r="E168" s="42">
        <f t="shared" si="26"/>
        <v>0</v>
      </c>
      <c r="F168" s="42">
        <f t="shared" si="26"/>
        <v>0</v>
      </c>
      <c r="G168" s="42">
        <f t="shared" si="26"/>
        <v>0</v>
      </c>
      <c r="H168" s="42">
        <f t="shared" si="26"/>
        <v>0</v>
      </c>
    </row>
    <row r="169" spans="3:10" x14ac:dyDescent="0.3">
      <c r="C169" s="210" t="s">
        <v>19</v>
      </c>
      <c r="D169" s="210" t="s">
        <v>69</v>
      </c>
      <c r="E169" s="42">
        <f t="shared" si="26"/>
        <v>0</v>
      </c>
      <c r="F169" s="42">
        <f t="shared" si="26"/>
        <v>0</v>
      </c>
      <c r="G169" s="42">
        <f t="shared" si="26"/>
        <v>0</v>
      </c>
      <c r="H169" s="42">
        <f t="shared" si="26"/>
        <v>0</v>
      </c>
    </row>
    <row r="170" spans="3:10" x14ac:dyDescent="0.3">
      <c r="C170" s="213" t="s">
        <v>20</v>
      </c>
      <c r="D170" s="210" t="s">
        <v>69</v>
      </c>
      <c r="E170" s="42">
        <f t="shared" si="26"/>
        <v>0</v>
      </c>
      <c r="F170" s="42">
        <f t="shared" si="26"/>
        <v>0</v>
      </c>
      <c r="G170" s="42">
        <f t="shared" si="26"/>
        <v>0</v>
      </c>
      <c r="H170" s="42">
        <f t="shared" si="26"/>
        <v>0</v>
      </c>
    </row>
    <row r="171" spans="3:10" x14ac:dyDescent="0.3">
      <c r="C171" s="213" t="s">
        <v>21</v>
      </c>
      <c r="D171" s="210" t="s">
        <v>69</v>
      </c>
      <c r="E171" s="42">
        <f t="shared" si="26"/>
        <v>0</v>
      </c>
      <c r="F171" s="42">
        <f t="shared" si="26"/>
        <v>0</v>
      </c>
      <c r="G171" s="42">
        <f t="shared" si="26"/>
        <v>0</v>
      </c>
      <c r="H171" s="42">
        <f t="shared" si="26"/>
        <v>0</v>
      </c>
    </row>
    <row r="172" spans="3:10" x14ac:dyDescent="0.3">
      <c r="C172" s="213" t="s">
        <v>22</v>
      </c>
      <c r="D172" s="210" t="s">
        <v>69</v>
      </c>
      <c r="E172" s="42">
        <f t="shared" si="26"/>
        <v>0</v>
      </c>
      <c r="F172" s="42">
        <f t="shared" si="26"/>
        <v>0</v>
      </c>
      <c r="G172" s="42">
        <f t="shared" si="26"/>
        <v>0</v>
      </c>
      <c r="H172" s="42">
        <f t="shared" si="26"/>
        <v>0</v>
      </c>
    </row>
    <row r="173" spans="3:10" x14ac:dyDescent="0.3">
      <c r="C173" s="216" t="s">
        <v>54</v>
      </c>
      <c r="D173" s="210" t="s">
        <v>69</v>
      </c>
      <c r="E173" s="45">
        <f>SUM(E164:E172)</f>
        <v>0</v>
      </c>
      <c r="F173" s="45">
        <f>SUM(F164:F172)</f>
        <v>0</v>
      </c>
      <c r="G173" s="45">
        <f>SUM(G164:G172)</f>
        <v>0</v>
      </c>
      <c r="H173" s="45">
        <f>SUM(H164:H172)</f>
        <v>0</v>
      </c>
      <c r="J173" s="45">
        <f>SUM(E173:H173)</f>
        <v>0</v>
      </c>
    </row>
    <row r="174" spans="3:10" x14ac:dyDescent="0.3">
      <c r="C174" s="209"/>
      <c r="D174" s="210"/>
      <c r="E174" s="42"/>
    </row>
    <row r="175" spans="3:10" x14ac:dyDescent="0.3">
      <c r="C175" s="51" t="s">
        <v>541</v>
      </c>
      <c r="D175" s="207"/>
      <c r="E175" s="208"/>
    </row>
    <row r="176" spans="3:10" x14ac:dyDescent="0.3">
      <c r="C176" s="209" t="s">
        <v>14</v>
      </c>
      <c r="D176" s="210" t="s">
        <v>542</v>
      </c>
      <c r="E176" s="42">
        <f t="shared" ref="E176:H184" si="27">E153*E26*E$64</f>
        <v>0</v>
      </c>
      <c r="F176" s="42">
        <f t="shared" si="27"/>
        <v>0</v>
      </c>
      <c r="G176" s="42">
        <f t="shared" si="27"/>
        <v>0</v>
      </c>
      <c r="H176" s="42">
        <f t="shared" si="27"/>
        <v>0</v>
      </c>
    </row>
    <row r="177" spans="3:10" x14ac:dyDescent="0.3">
      <c r="C177" s="213" t="s">
        <v>15</v>
      </c>
      <c r="D177" s="210" t="s">
        <v>542</v>
      </c>
      <c r="E177" s="42">
        <f t="shared" si="27"/>
        <v>0</v>
      </c>
      <c r="F177" s="42">
        <f t="shared" si="27"/>
        <v>0</v>
      </c>
      <c r="G177" s="42">
        <f t="shared" si="27"/>
        <v>0</v>
      </c>
      <c r="H177" s="42">
        <f t="shared" si="27"/>
        <v>0</v>
      </c>
    </row>
    <row r="178" spans="3:10" x14ac:dyDescent="0.3">
      <c r="C178" s="210" t="s">
        <v>16</v>
      </c>
      <c r="D178" s="210" t="s">
        <v>542</v>
      </c>
      <c r="E178" s="42">
        <f t="shared" si="27"/>
        <v>0</v>
      </c>
      <c r="F178" s="42">
        <f t="shared" si="27"/>
        <v>0</v>
      </c>
      <c r="G178" s="42">
        <f t="shared" si="27"/>
        <v>0</v>
      </c>
      <c r="H178" s="42">
        <f t="shared" si="27"/>
        <v>0</v>
      </c>
    </row>
    <row r="179" spans="3:10" x14ac:dyDescent="0.3">
      <c r="C179" s="210" t="s">
        <v>17</v>
      </c>
      <c r="D179" s="210" t="s">
        <v>542</v>
      </c>
      <c r="E179" s="42">
        <f t="shared" si="27"/>
        <v>0</v>
      </c>
      <c r="F179" s="42">
        <f t="shared" si="27"/>
        <v>0</v>
      </c>
      <c r="G179" s="42">
        <f t="shared" si="27"/>
        <v>0</v>
      </c>
      <c r="H179" s="42">
        <f t="shared" si="27"/>
        <v>0</v>
      </c>
    </row>
    <row r="180" spans="3:10" x14ac:dyDescent="0.3">
      <c r="C180" s="210" t="s">
        <v>18</v>
      </c>
      <c r="D180" s="210" t="s">
        <v>542</v>
      </c>
      <c r="E180" s="42">
        <f t="shared" si="27"/>
        <v>0</v>
      </c>
      <c r="F180" s="42">
        <f t="shared" si="27"/>
        <v>0</v>
      </c>
      <c r="G180" s="42">
        <f t="shared" si="27"/>
        <v>0</v>
      </c>
      <c r="H180" s="42">
        <f t="shared" si="27"/>
        <v>0</v>
      </c>
    </row>
    <row r="181" spans="3:10" x14ac:dyDescent="0.3">
      <c r="C181" s="210" t="s">
        <v>19</v>
      </c>
      <c r="D181" s="210" t="s">
        <v>542</v>
      </c>
      <c r="E181" s="42">
        <f t="shared" si="27"/>
        <v>0</v>
      </c>
      <c r="F181" s="42">
        <f t="shared" si="27"/>
        <v>0</v>
      </c>
      <c r="G181" s="42">
        <f t="shared" si="27"/>
        <v>0</v>
      </c>
      <c r="H181" s="42">
        <f t="shared" si="27"/>
        <v>0</v>
      </c>
    </row>
    <row r="182" spans="3:10" x14ac:dyDescent="0.3">
      <c r="C182" s="213" t="s">
        <v>20</v>
      </c>
      <c r="D182" s="210" t="s">
        <v>542</v>
      </c>
      <c r="E182" s="42">
        <f t="shared" si="27"/>
        <v>0</v>
      </c>
      <c r="F182" s="42">
        <f t="shared" si="27"/>
        <v>0</v>
      </c>
      <c r="G182" s="42">
        <f t="shared" si="27"/>
        <v>0</v>
      </c>
      <c r="H182" s="42">
        <f t="shared" si="27"/>
        <v>0</v>
      </c>
    </row>
    <row r="183" spans="3:10" x14ac:dyDescent="0.3">
      <c r="C183" s="213" t="s">
        <v>21</v>
      </c>
      <c r="D183" s="210" t="s">
        <v>542</v>
      </c>
      <c r="E183" s="42">
        <f t="shared" si="27"/>
        <v>0</v>
      </c>
      <c r="F183" s="42">
        <f t="shared" si="27"/>
        <v>0</v>
      </c>
      <c r="G183" s="42">
        <f t="shared" si="27"/>
        <v>0</v>
      </c>
      <c r="H183" s="42">
        <f t="shared" si="27"/>
        <v>0</v>
      </c>
    </row>
    <row r="184" spans="3:10" x14ac:dyDescent="0.3">
      <c r="C184" s="213" t="s">
        <v>22</v>
      </c>
      <c r="D184" s="210" t="s">
        <v>542</v>
      </c>
      <c r="E184" s="42">
        <f t="shared" si="27"/>
        <v>0</v>
      </c>
      <c r="F184" s="42">
        <f t="shared" si="27"/>
        <v>0</v>
      </c>
      <c r="G184" s="42">
        <f t="shared" si="27"/>
        <v>0</v>
      </c>
      <c r="H184" s="42">
        <f t="shared" si="27"/>
        <v>0</v>
      </c>
      <c r="J184" s="45"/>
    </row>
    <row r="185" spans="3:10" x14ac:dyDescent="0.3">
      <c r="C185" s="216" t="s">
        <v>54</v>
      </c>
      <c r="D185" s="210" t="s">
        <v>542</v>
      </c>
      <c r="E185" s="45">
        <f>SUM(E176:E184)</f>
        <v>0</v>
      </c>
      <c r="F185" s="45">
        <f>SUM(F176:F184)</f>
        <v>0</v>
      </c>
      <c r="G185" s="45">
        <f>SUM(G176:G184)</f>
        <v>0</v>
      </c>
      <c r="H185" s="45">
        <f>SUM(H176:H184)</f>
        <v>0</v>
      </c>
      <c r="J185" s="45">
        <f>SUM(E185:H185)</f>
        <v>0</v>
      </c>
    </row>
    <row r="186" spans="3:10" x14ac:dyDescent="0.3">
      <c r="C186" s="209"/>
      <c r="D186" s="210"/>
      <c r="E186" s="42"/>
    </row>
    <row r="187" spans="3:10" x14ac:dyDescent="0.3">
      <c r="C187" s="51" t="s">
        <v>543</v>
      </c>
      <c r="D187" s="207"/>
      <c r="E187" s="208"/>
      <c r="F187" s="208"/>
      <c r="G187" s="208" t="s">
        <v>708</v>
      </c>
      <c r="H187" s="208"/>
      <c r="J187" s="26"/>
    </row>
    <row r="188" spans="3:10" x14ac:dyDescent="0.3">
      <c r="C188" s="209" t="s">
        <v>14</v>
      </c>
      <c r="D188" s="210" t="s">
        <v>69</v>
      </c>
      <c r="E188" s="211" t="e">
        <f t="shared" ref="E188:H196" si="28">E78*$J78*E153</f>
        <v>#VALUE!</v>
      </c>
      <c r="F188" s="211" t="e">
        <f t="shared" si="28"/>
        <v>#VALUE!</v>
      </c>
      <c r="G188" s="211" t="e">
        <f t="shared" si="28"/>
        <v>#VALUE!</v>
      </c>
      <c r="H188" s="211" t="e">
        <f t="shared" si="28"/>
        <v>#VALUE!</v>
      </c>
      <c r="J188" s="26"/>
    </row>
    <row r="189" spans="3:10" x14ac:dyDescent="0.3">
      <c r="C189" s="213" t="s">
        <v>15</v>
      </c>
      <c r="D189" s="210" t="s">
        <v>69</v>
      </c>
      <c r="E189" s="211" t="e">
        <f t="shared" si="28"/>
        <v>#VALUE!</v>
      </c>
      <c r="F189" s="211" t="e">
        <f t="shared" si="28"/>
        <v>#VALUE!</v>
      </c>
      <c r="G189" s="211" t="e">
        <f t="shared" si="28"/>
        <v>#VALUE!</v>
      </c>
      <c r="H189" s="211" t="e">
        <f t="shared" si="28"/>
        <v>#VALUE!</v>
      </c>
      <c r="J189" s="26"/>
    </row>
    <row r="190" spans="3:10" x14ac:dyDescent="0.3">
      <c r="C190" s="210" t="s">
        <v>16</v>
      </c>
      <c r="D190" s="210" t="s">
        <v>69</v>
      </c>
      <c r="E190" s="211" t="e">
        <f t="shared" si="28"/>
        <v>#VALUE!</v>
      </c>
      <c r="F190" s="211" t="e">
        <f t="shared" si="28"/>
        <v>#VALUE!</v>
      </c>
      <c r="G190" s="211" t="e">
        <f t="shared" si="28"/>
        <v>#VALUE!</v>
      </c>
      <c r="H190" s="211" t="e">
        <f t="shared" si="28"/>
        <v>#VALUE!</v>
      </c>
      <c r="J190" s="26"/>
    </row>
    <row r="191" spans="3:10" x14ac:dyDescent="0.3">
      <c r="C191" s="210" t="s">
        <v>17</v>
      </c>
      <c r="D191" s="210" t="s">
        <v>69</v>
      </c>
      <c r="E191" s="211" t="e">
        <f t="shared" si="28"/>
        <v>#VALUE!</v>
      </c>
      <c r="F191" s="211" t="e">
        <f t="shared" si="28"/>
        <v>#VALUE!</v>
      </c>
      <c r="G191" s="211" t="e">
        <f t="shared" si="28"/>
        <v>#VALUE!</v>
      </c>
      <c r="H191" s="211" t="e">
        <f t="shared" si="28"/>
        <v>#VALUE!</v>
      </c>
      <c r="J191" s="26"/>
    </row>
    <row r="192" spans="3:10" x14ac:dyDescent="0.3">
      <c r="C192" s="210" t="s">
        <v>18</v>
      </c>
      <c r="D192" s="210" t="s">
        <v>69</v>
      </c>
      <c r="E192" s="211" t="e">
        <f t="shared" si="28"/>
        <v>#VALUE!</v>
      </c>
      <c r="F192" s="211" t="e">
        <f t="shared" si="28"/>
        <v>#VALUE!</v>
      </c>
      <c r="G192" s="211" t="e">
        <f t="shared" si="28"/>
        <v>#VALUE!</v>
      </c>
      <c r="H192" s="211" t="e">
        <f t="shared" si="28"/>
        <v>#VALUE!</v>
      </c>
      <c r="J192" s="26"/>
    </row>
    <row r="193" spans="3:12" x14ac:dyDescent="0.3">
      <c r="C193" s="210" t="s">
        <v>19</v>
      </c>
      <c r="D193" s="210" t="s">
        <v>69</v>
      </c>
      <c r="E193" s="211" t="e">
        <f t="shared" si="28"/>
        <v>#VALUE!</v>
      </c>
      <c r="F193" s="211" t="e">
        <f t="shared" si="28"/>
        <v>#VALUE!</v>
      </c>
      <c r="G193" s="211" t="e">
        <f t="shared" si="28"/>
        <v>#VALUE!</v>
      </c>
      <c r="H193" s="211" t="e">
        <f t="shared" si="28"/>
        <v>#VALUE!</v>
      </c>
      <c r="J193" s="26"/>
    </row>
    <row r="194" spans="3:12" ht="15.95" customHeight="1" x14ac:dyDescent="0.3">
      <c r="C194" s="213" t="s">
        <v>20</v>
      </c>
      <c r="D194" s="210" t="s">
        <v>69</v>
      </c>
      <c r="E194" s="211" t="e">
        <f t="shared" si="28"/>
        <v>#VALUE!</v>
      </c>
      <c r="F194" s="211" t="e">
        <f t="shared" si="28"/>
        <v>#VALUE!</v>
      </c>
      <c r="G194" s="211" t="e">
        <f t="shared" si="28"/>
        <v>#VALUE!</v>
      </c>
      <c r="H194" s="211" t="e">
        <f t="shared" si="28"/>
        <v>#VALUE!</v>
      </c>
      <c r="J194" s="26"/>
    </row>
    <row r="195" spans="3:12" ht="15.95" customHeight="1" x14ac:dyDescent="0.3">
      <c r="C195" s="213" t="s">
        <v>21</v>
      </c>
      <c r="D195" s="210" t="s">
        <v>69</v>
      </c>
      <c r="E195" s="211" t="e">
        <f t="shared" si="28"/>
        <v>#VALUE!</v>
      </c>
      <c r="F195" s="211" t="e">
        <f t="shared" si="28"/>
        <v>#VALUE!</v>
      </c>
      <c r="G195" s="211" t="e">
        <f t="shared" si="28"/>
        <v>#VALUE!</v>
      </c>
      <c r="H195" s="211" t="e">
        <f t="shared" si="28"/>
        <v>#VALUE!</v>
      </c>
      <c r="J195" s="26"/>
      <c r="L195" s="17" t="s">
        <v>478</v>
      </c>
    </row>
    <row r="196" spans="3:12" x14ac:dyDescent="0.3">
      <c r="C196" s="213" t="s">
        <v>22</v>
      </c>
      <c r="D196" s="210" t="s">
        <v>69</v>
      </c>
      <c r="E196" s="211" t="e">
        <f t="shared" si="28"/>
        <v>#VALUE!</v>
      </c>
      <c r="F196" s="211" t="e">
        <f t="shared" si="28"/>
        <v>#VALUE!</v>
      </c>
      <c r="G196" s="211" t="e">
        <f t="shared" si="28"/>
        <v>#VALUE!</v>
      </c>
      <c r="H196" s="211" t="e">
        <f t="shared" si="28"/>
        <v>#VALUE!</v>
      </c>
      <c r="J196" s="26"/>
      <c r="L196" s="214" t="e">
        <f>AVERAGE(E188:H196)</f>
        <v>#VALUE!</v>
      </c>
    </row>
    <row r="197" spans="3:12" x14ac:dyDescent="0.3">
      <c r="C197" s="216" t="s">
        <v>54</v>
      </c>
      <c r="D197" s="210" t="s">
        <v>69</v>
      </c>
      <c r="E197" s="45" t="e">
        <f>SUM(E188:E196)</f>
        <v>#VALUE!</v>
      </c>
      <c r="F197" s="45" t="e">
        <f>SUM(F188:F196)</f>
        <v>#VALUE!</v>
      </c>
      <c r="G197" s="45" t="e">
        <f>SUM(G188:G196)</f>
        <v>#VALUE!</v>
      </c>
      <c r="H197" s="45" t="e">
        <f>SUM(H188:H196)</f>
        <v>#VALUE!</v>
      </c>
      <c r="J197" s="45" t="e">
        <f>SUM(E197:H197)</f>
        <v>#VALUE!</v>
      </c>
      <c r="L197" s="214"/>
    </row>
    <row r="198" spans="3:12" x14ac:dyDescent="0.3">
      <c r="C198" s="209"/>
      <c r="D198" s="210"/>
      <c r="E198" s="42"/>
      <c r="F198" s="211"/>
      <c r="G198" s="42"/>
      <c r="H198" s="42"/>
      <c r="J198" s="26"/>
    </row>
    <row r="199" spans="3:12" x14ac:dyDescent="0.3">
      <c r="C199" s="51" t="s">
        <v>522</v>
      </c>
      <c r="D199" s="84"/>
      <c r="E199" s="91"/>
    </row>
    <row r="200" spans="3:12" x14ac:dyDescent="0.3">
      <c r="C200" s="20" t="s">
        <v>14</v>
      </c>
      <c r="D200" s="84" t="s">
        <v>527</v>
      </c>
      <c r="E200" s="97" t="e">
        <f t="shared" ref="E200:H208" si="29">E153*E115</f>
        <v>#VALUE!</v>
      </c>
      <c r="F200" s="97" t="e">
        <f t="shared" si="29"/>
        <v>#VALUE!</v>
      </c>
      <c r="G200" s="97" t="e">
        <f t="shared" si="29"/>
        <v>#VALUE!</v>
      </c>
      <c r="H200" s="97" t="e">
        <f t="shared" si="29"/>
        <v>#VALUE!</v>
      </c>
    </row>
    <row r="201" spans="3:12" x14ac:dyDescent="0.3">
      <c r="C201" s="14" t="s">
        <v>15</v>
      </c>
      <c r="D201" s="84" t="s">
        <v>527</v>
      </c>
      <c r="E201" s="97">
        <f t="shared" si="29"/>
        <v>0</v>
      </c>
      <c r="F201" s="97">
        <f t="shared" si="29"/>
        <v>0</v>
      </c>
      <c r="G201" s="97">
        <f t="shared" si="29"/>
        <v>0</v>
      </c>
      <c r="H201" s="97">
        <f t="shared" si="29"/>
        <v>0</v>
      </c>
    </row>
    <row r="202" spans="3:12" x14ac:dyDescent="0.3">
      <c r="C202" s="15" t="s">
        <v>16</v>
      </c>
      <c r="D202" s="84" t="s">
        <v>527</v>
      </c>
      <c r="E202" s="97">
        <f t="shared" si="29"/>
        <v>0</v>
      </c>
      <c r="F202" s="97">
        <f t="shared" si="29"/>
        <v>0</v>
      </c>
      <c r="G202" s="97">
        <f t="shared" si="29"/>
        <v>0</v>
      </c>
      <c r="H202" s="97">
        <f t="shared" si="29"/>
        <v>0</v>
      </c>
    </row>
    <row r="203" spans="3:12" x14ac:dyDescent="0.3">
      <c r="C203" s="15" t="s">
        <v>17</v>
      </c>
      <c r="D203" s="84" t="s">
        <v>527</v>
      </c>
      <c r="E203" s="97">
        <f t="shared" si="29"/>
        <v>0</v>
      </c>
      <c r="F203" s="97">
        <f t="shared" si="29"/>
        <v>0</v>
      </c>
      <c r="G203" s="97">
        <f t="shared" si="29"/>
        <v>0</v>
      </c>
      <c r="H203" s="97">
        <f t="shared" si="29"/>
        <v>0</v>
      </c>
    </row>
    <row r="204" spans="3:12" x14ac:dyDescent="0.3">
      <c r="C204" s="15" t="s">
        <v>18</v>
      </c>
      <c r="D204" s="84" t="s">
        <v>527</v>
      </c>
      <c r="E204" s="97">
        <f t="shared" si="29"/>
        <v>0</v>
      </c>
      <c r="F204" s="97">
        <f t="shared" si="29"/>
        <v>0</v>
      </c>
      <c r="G204" s="97">
        <f t="shared" si="29"/>
        <v>0</v>
      </c>
      <c r="H204" s="97">
        <f t="shared" si="29"/>
        <v>0</v>
      </c>
    </row>
    <row r="205" spans="3:12" x14ac:dyDescent="0.3">
      <c r="C205" s="15" t="s">
        <v>19</v>
      </c>
      <c r="D205" s="84" t="s">
        <v>527</v>
      </c>
      <c r="E205" s="97">
        <f t="shared" si="29"/>
        <v>0</v>
      </c>
      <c r="F205" s="97">
        <f t="shared" si="29"/>
        <v>0</v>
      </c>
      <c r="G205" s="97">
        <f t="shared" si="29"/>
        <v>0</v>
      </c>
      <c r="H205" s="97">
        <f t="shared" si="29"/>
        <v>0</v>
      </c>
    </row>
    <row r="206" spans="3:12" x14ac:dyDescent="0.3">
      <c r="C206" s="14" t="s">
        <v>20</v>
      </c>
      <c r="D206" s="84" t="s">
        <v>527</v>
      </c>
      <c r="E206" s="97">
        <f t="shared" si="29"/>
        <v>0</v>
      </c>
      <c r="F206" s="97">
        <f t="shared" si="29"/>
        <v>0</v>
      </c>
      <c r="G206" s="97">
        <f t="shared" si="29"/>
        <v>0</v>
      </c>
      <c r="H206" s="97">
        <f t="shared" si="29"/>
        <v>0</v>
      </c>
    </row>
    <row r="207" spans="3:12" x14ac:dyDescent="0.3">
      <c r="C207" s="14" t="s">
        <v>21</v>
      </c>
      <c r="D207" s="84" t="s">
        <v>527</v>
      </c>
      <c r="E207" s="97" t="e">
        <f t="shared" si="29"/>
        <v>#N/A</v>
      </c>
      <c r="F207" s="97" t="e">
        <f t="shared" si="29"/>
        <v>#N/A</v>
      </c>
      <c r="G207" s="97" t="e">
        <f t="shared" si="29"/>
        <v>#N/A</v>
      </c>
      <c r="H207" s="97" t="e">
        <f t="shared" si="29"/>
        <v>#N/A</v>
      </c>
    </row>
    <row r="208" spans="3:12" x14ac:dyDescent="0.3">
      <c r="C208" s="14" t="s">
        <v>22</v>
      </c>
      <c r="D208" s="84" t="s">
        <v>527</v>
      </c>
      <c r="E208" s="97" t="e">
        <f t="shared" si="29"/>
        <v>#N/A</v>
      </c>
      <c r="F208" s="97" t="e">
        <f t="shared" si="29"/>
        <v>#N/A</v>
      </c>
      <c r="G208" s="97" t="e">
        <f t="shared" si="29"/>
        <v>#N/A</v>
      </c>
      <c r="H208" s="97" t="e">
        <f t="shared" si="29"/>
        <v>#N/A</v>
      </c>
    </row>
    <row r="209" spans="3:10" x14ac:dyDescent="0.3">
      <c r="C209" s="102" t="s">
        <v>54</v>
      </c>
      <c r="D209" s="133" t="s">
        <v>527</v>
      </c>
      <c r="E209" s="217" t="e">
        <f>SUM(E200:E208)</f>
        <v>#VALUE!</v>
      </c>
      <c r="F209" s="217" t="e">
        <f t="shared" ref="F209:H209" si="30">SUM(F200:F208)</f>
        <v>#VALUE!</v>
      </c>
      <c r="G209" s="217" t="e">
        <f t="shared" si="30"/>
        <v>#VALUE!</v>
      </c>
      <c r="H209" s="217" t="e">
        <f t="shared" si="30"/>
        <v>#VALUE!</v>
      </c>
      <c r="J209" s="217" t="e">
        <f>SUM(E209:H209)</f>
        <v>#VALUE!</v>
      </c>
    </row>
    <row r="210" spans="3:10" x14ac:dyDescent="0.3">
      <c r="C210" s="20"/>
      <c r="E210" s="42"/>
    </row>
    <row r="211" spans="3:10" x14ac:dyDescent="0.3">
      <c r="C211" s="51" t="s">
        <v>544</v>
      </c>
      <c r="D211" s="207"/>
      <c r="E211" s="208"/>
    </row>
    <row r="212" spans="3:10" x14ac:dyDescent="0.3">
      <c r="C212" s="209" t="s">
        <v>14</v>
      </c>
      <c r="D212" s="207" t="s">
        <v>605</v>
      </c>
      <c r="E212" s="97" t="e">
        <f t="shared" ref="E212:H220" si="31">E153*E115*E$64</f>
        <v>#VALUE!</v>
      </c>
      <c r="F212" s="97" t="e">
        <f t="shared" si="31"/>
        <v>#VALUE!</v>
      </c>
      <c r="G212" s="97" t="e">
        <f t="shared" si="31"/>
        <v>#VALUE!</v>
      </c>
      <c r="H212" s="97" t="e">
        <f t="shared" si="31"/>
        <v>#VALUE!</v>
      </c>
    </row>
    <row r="213" spans="3:10" x14ac:dyDescent="0.3">
      <c r="C213" s="213" t="s">
        <v>15</v>
      </c>
      <c r="D213" s="207" t="s">
        <v>605</v>
      </c>
      <c r="E213" s="97">
        <f t="shared" si="31"/>
        <v>0</v>
      </c>
      <c r="F213" s="97">
        <f t="shared" si="31"/>
        <v>0</v>
      </c>
      <c r="G213" s="97">
        <f t="shared" si="31"/>
        <v>0</v>
      </c>
      <c r="H213" s="97">
        <f t="shared" si="31"/>
        <v>0</v>
      </c>
    </row>
    <row r="214" spans="3:10" x14ac:dyDescent="0.3">
      <c r="C214" s="210" t="s">
        <v>16</v>
      </c>
      <c r="D214" s="207" t="s">
        <v>605</v>
      </c>
      <c r="E214" s="97">
        <f t="shared" si="31"/>
        <v>0</v>
      </c>
      <c r="F214" s="97">
        <f t="shared" si="31"/>
        <v>0</v>
      </c>
      <c r="G214" s="97">
        <f t="shared" si="31"/>
        <v>0</v>
      </c>
      <c r="H214" s="97">
        <f t="shared" si="31"/>
        <v>0</v>
      </c>
    </row>
    <row r="215" spans="3:10" x14ac:dyDescent="0.3">
      <c r="C215" s="210" t="s">
        <v>17</v>
      </c>
      <c r="D215" s="207" t="s">
        <v>605</v>
      </c>
      <c r="E215" s="97">
        <f t="shared" si="31"/>
        <v>0</v>
      </c>
      <c r="F215" s="97">
        <f t="shared" si="31"/>
        <v>0</v>
      </c>
      <c r="G215" s="97">
        <f t="shared" si="31"/>
        <v>0</v>
      </c>
      <c r="H215" s="97">
        <f t="shared" si="31"/>
        <v>0</v>
      </c>
    </row>
    <row r="216" spans="3:10" x14ac:dyDescent="0.3">
      <c r="C216" s="210" t="s">
        <v>18</v>
      </c>
      <c r="D216" s="207" t="s">
        <v>605</v>
      </c>
      <c r="E216" s="97">
        <f t="shared" si="31"/>
        <v>0</v>
      </c>
      <c r="F216" s="97">
        <f t="shared" si="31"/>
        <v>0</v>
      </c>
      <c r="G216" s="97">
        <f t="shared" si="31"/>
        <v>0</v>
      </c>
      <c r="H216" s="97">
        <f t="shared" si="31"/>
        <v>0</v>
      </c>
    </row>
    <row r="217" spans="3:10" x14ac:dyDescent="0.3">
      <c r="C217" s="210" t="s">
        <v>19</v>
      </c>
      <c r="D217" s="207" t="s">
        <v>605</v>
      </c>
      <c r="E217" s="97">
        <f t="shared" si="31"/>
        <v>0</v>
      </c>
      <c r="F217" s="97">
        <f t="shared" si="31"/>
        <v>0</v>
      </c>
      <c r="G217" s="97">
        <f t="shared" si="31"/>
        <v>0</v>
      </c>
      <c r="H217" s="97">
        <f t="shared" si="31"/>
        <v>0</v>
      </c>
    </row>
    <row r="218" spans="3:10" x14ac:dyDescent="0.3">
      <c r="C218" s="213" t="s">
        <v>20</v>
      </c>
      <c r="D218" s="207" t="s">
        <v>605</v>
      </c>
      <c r="E218" s="97">
        <f t="shared" si="31"/>
        <v>0</v>
      </c>
      <c r="F218" s="97">
        <f t="shared" si="31"/>
        <v>0</v>
      </c>
      <c r="G218" s="97">
        <f t="shared" si="31"/>
        <v>0</v>
      </c>
      <c r="H218" s="97">
        <f t="shared" si="31"/>
        <v>0</v>
      </c>
    </row>
    <row r="219" spans="3:10" x14ac:dyDescent="0.3">
      <c r="C219" s="213" t="s">
        <v>21</v>
      </c>
      <c r="D219" s="207" t="s">
        <v>605</v>
      </c>
      <c r="E219" s="97" t="e">
        <f t="shared" si="31"/>
        <v>#N/A</v>
      </c>
      <c r="F219" s="97" t="e">
        <f t="shared" si="31"/>
        <v>#N/A</v>
      </c>
      <c r="G219" s="97" t="e">
        <f t="shared" si="31"/>
        <v>#N/A</v>
      </c>
      <c r="H219" s="97" t="e">
        <f t="shared" si="31"/>
        <v>#N/A</v>
      </c>
    </row>
    <row r="220" spans="3:10" x14ac:dyDescent="0.3">
      <c r="C220" s="213" t="s">
        <v>22</v>
      </c>
      <c r="D220" s="207" t="s">
        <v>605</v>
      </c>
      <c r="E220" s="97" t="e">
        <f t="shared" si="31"/>
        <v>#N/A</v>
      </c>
      <c r="F220" s="97" t="e">
        <f t="shared" si="31"/>
        <v>#N/A</v>
      </c>
      <c r="G220" s="97" t="e">
        <f t="shared" si="31"/>
        <v>#N/A</v>
      </c>
      <c r="H220" s="97" t="e">
        <f t="shared" si="31"/>
        <v>#N/A</v>
      </c>
    </row>
    <row r="221" spans="3:10" x14ac:dyDescent="0.3">
      <c r="C221" s="216" t="s">
        <v>54</v>
      </c>
      <c r="D221" s="218" t="s">
        <v>605</v>
      </c>
      <c r="E221" s="217" t="e">
        <f>SUM(E212:E220)</f>
        <v>#VALUE!</v>
      </c>
      <c r="F221" s="217" t="e">
        <f>SUM(F212:F220)</f>
        <v>#VALUE!</v>
      </c>
      <c r="G221" s="217" t="e">
        <f>SUM(G212:G220)</f>
        <v>#VALUE!</v>
      </c>
      <c r="H221" s="217" t="e">
        <f>SUM(H212:H220)</f>
        <v>#VALUE!</v>
      </c>
      <c r="J221" s="217" t="e">
        <f>SUM(E221:H221)</f>
        <v>#VALUE!</v>
      </c>
    </row>
    <row r="222" spans="3:10" x14ac:dyDescent="0.3">
      <c r="C222" s="209"/>
      <c r="E222" s="42"/>
    </row>
    <row r="223" spans="3:10" x14ac:dyDescent="0.3">
      <c r="C223" s="51" t="s">
        <v>313</v>
      </c>
      <c r="E223" s="91"/>
    </row>
    <row r="224" spans="3:10" x14ac:dyDescent="0.3">
      <c r="C224" s="20" t="s">
        <v>14</v>
      </c>
      <c r="D224" s="84" t="s">
        <v>272</v>
      </c>
      <c r="E224" s="42" t="e">
        <f t="shared" ref="E224:H232" si="32">E153*E126</f>
        <v>#VALUE!</v>
      </c>
      <c r="F224" s="42" t="e">
        <f t="shared" si="32"/>
        <v>#VALUE!</v>
      </c>
      <c r="G224" s="42" t="e">
        <f t="shared" si="32"/>
        <v>#VALUE!</v>
      </c>
      <c r="H224" s="42" t="e">
        <f t="shared" si="32"/>
        <v>#VALUE!</v>
      </c>
    </row>
    <row r="225" spans="3:10" x14ac:dyDescent="0.3">
      <c r="C225" s="14" t="s">
        <v>15</v>
      </c>
      <c r="D225" s="84" t="s">
        <v>272</v>
      </c>
      <c r="E225" s="42">
        <f t="shared" si="32"/>
        <v>0</v>
      </c>
      <c r="F225" s="42">
        <f t="shared" si="32"/>
        <v>0</v>
      </c>
      <c r="G225" s="42">
        <f t="shared" si="32"/>
        <v>0</v>
      </c>
      <c r="H225" s="42">
        <f t="shared" si="32"/>
        <v>0</v>
      </c>
    </row>
    <row r="226" spans="3:10" x14ac:dyDescent="0.3">
      <c r="C226" s="15" t="s">
        <v>16</v>
      </c>
      <c r="D226" s="84" t="s">
        <v>272</v>
      </c>
      <c r="E226" s="42">
        <f t="shared" si="32"/>
        <v>0</v>
      </c>
      <c r="F226" s="42">
        <f t="shared" si="32"/>
        <v>0</v>
      </c>
      <c r="G226" s="42">
        <f t="shared" si="32"/>
        <v>0</v>
      </c>
      <c r="H226" s="42">
        <f t="shared" si="32"/>
        <v>0</v>
      </c>
    </row>
    <row r="227" spans="3:10" x14ac:dyDescent="0.3">
      <c r="C227" s="15" t="s">
        <v>17</v>
      </c>
      <c r="D227" s="84" t="s">
        <v>272</v>
      </c>
      <c r="E227" s="42">
        <f t="shared" si="32"/>
        <v>0</v>
      </c>
      <c r="F227" s="42">
        <f t="shared" si="32"/>
        <v>0</v>
      </c>
      <c r="G227" s="42">
        <f t="shared" si="32"/>
        <v>0</v>
      </c>
      <c r="H227" s="42">
        <f t="shared" si="32"/>
        <v>0</v>
      </c>
    </row>
    <row r="228" spans="3:10" x14ac:dyDescent="0.3">
      <c r="C228" s="15" t="s">
        <v>18</v>
      </c>
      <c r="D228" s="84" t="s">
        <v>272</v>
      </c>
      <c r="E228" s="42">
        <f t="shared" si="32"/>
        <v>0</v>
      </c>
      <c r="F228" s="42">
        <f t="shared" si="32"/>
        <v>0</v>
      </c>
      <c r="G228" s="42">
        <f t="shared" si="32"/>
        <v>0</v>
      </c>
      <c r="H228" s="42">
        <f t="shared" si="32"/>
        <v>0</v>
      </c>
    </row>
    <row r="229" spans="3:10" x14ac:dyDescent="0.3">
      <c r="C229" s="15" t="s">
        <v>19</v>
      </c>
      <c r="D229" s="84" t="s">
        <v>272</v>
      </c>
      <c r="E229" s="42">
        <f t="shared" si="32"/>
        <v>0</v>
      </c>
      <c r="F229" s="42">
        <f t="shared" si="32"/>
        <v>0</v>
      </c>
      <c r="G229" s="42">
        <f t="shared" si="32"/>
        <v>0</v>
      </c>
      <c r="H229" s="42">
        <f t="shared" si="32"/>
        <v>0</v>
      </c>
    </row>
    <row r="230" spans="3:10" x14ac:dyDescent="0.3">
      <c r="C230" s="14" t="s">
        <v>20</v>
      </c>
      <c r="D230" s="84" t="s">
        <v>272</v>
      </c>
      <c r="E230" s="42">
        <f t="shared" si="32"/>
        <v>0</v>
      </c>
      <c r="F230" s="42">
        <f t="shared" si="32"/>
        <v>0</v>
      </c>
      <c r="G230" s="42">
        <f t="shared" si="32"/>
        <v>0</v>
      </c>
      <c r="H230" s="42">
        <f t="shared" si="32"/>
        <v>0</v>
      </c>
    </row>
    <row r="231" spans="3:10" x14ac:dyDescent="0.3">
      <c r="C231" s="14" t="s">
        <v>21</v>
      </c>
      <c r="D231" s="84" t="s">
        <v>272</v>
      </c>
      <c r="E231" s="42" t="e">
        <f t="shared" si="32"/>
        <v>#N/A</v>
      </c>
      <c r="F231" s="42" t="e">
        <f t="shared" si="32"/>
        <v>#N/A</v>
      </c>
      <c r="G231" s="42" t="e">
        <f t="shared" si="32"/>
        <v>#N/A</v>
      </c>
      <c r="H231" s="42" t="e">
        <f t="shared" si="32"/>
        <v>#N/A</v>
      </c>
    </row>
    <row r="232" spans="3:10" x14ac:dyDescent="0.3">
      <c r="C232" s="14" t="s">
        <v>22</v>
      </c>
      <c r="D232" s="84" t="s">
        <v>272</v>
      </c>
      <c r="E232" s="42" t="e">
        <f t="shared" si="32"/>
        <v>#N/A</v>
      </c>
      <c r="F232" s="42" t="e">
        <f t="shared" si="32"/>
        <v>#N/A</v>
      </c>
      <c r="G232" s="42" t="e">
        <f t="shared" si="32"/>
        <v>#N/A</v>
      </c>
      <c r="H232" s="42" t="e">
        <f t="shared" si="32"/>
        <v>#N/A</v>
      </c>
    </row>
    <row r="233" spans="3:10" x14ac:dyDescent="0.3">
      <c r="C233" s="102" t="s">
        <v>54</v>
      </c>
      <c r="D233" s="84" t="s">
        <v>272</v>
      </c>
      <c r="E233" s="45" t="e">
        <f>SUM(E224:E232)</f>
        <v>#VALUE!</v>
      </c>
      <c r="F233" s="45" t="e">
        <f t="shared" ref="F233" si="33">SUM(F224:F232)</f>
        <v>#VALUE!</v>
      </c>
      <c r="G233" s="45" t="e">
        <f t="shared" ref="G233" si="34">SUM(G224:G232)</f>
        <v>#VALUE!</v>
      </c>
      <c r="H233" s="45" t="e">
        <f t="shared" ref="H233" si="35">SUM(H224:H232)</f>
        <v>#VALUE!</v>
      </c>
      <c r="J233" s="45" t="e">
        <f>SUM(E233:H233)</f>
        <v>#VALUE!</v>
      </c>
    </row>
    <row r="235" spans="3:10" x14ac:dyDescent="0.3">
      <c r="C235" s="51" t="s">
        <v>546</v>
      </c>
      <c r="E235" s="208"/>
    </row>
    <row r="236" spans="3:10" x14ac:dyDescent="0.3">
      <c r="C236" s="209" t="s">
        <v>14</v>
      </c>
      <c r="D236" s="207" t="s">
        <v>69</v>
      </c>
      <c r="E236" s="42" t="e">
        <f t="shared" ref="E236:E244" si="36">E153*E126*$J139</f>
        <v>#VALUE!</v>
      </c>
      <c r="F236" s="42" t="e">
        <f t="shared" ref="F236:H236" si="37">F153*F126*$J139</f>
        <v>#VALUE!</v>
      </c>
      <c r="G236" s="42" t="e">
        <f t="shared" si="37"/>
        <v>#VALUE!</v>
      </c>
      <c r="H236" s="42" t="e">
        <f t="shared" si="37"/>
        <v>#VALUE!</v>
      </c>
    </row>
    <row r="237" spans="3:10" x14ac:dyDescent="0.3">
      <c r="C237" s="213" t="s">
        <v>15</v>
      </c>
      <c r="D237" s="207" t="s">
        <v>69</v>
      </c>
      <c r="E237" s="42">
        <f t="shared" si="36"/>
        <v>0</v>
      </c>
      <c r="F237" s="42">
        <f t="shared" ref="F237:H244" si="38">F154*F127*$J140</f>
        <v>0</v>
      </c>
      <c r="G237" s="42">
        <f t="shared" si="38"/>
        <v>0</v>
      </c>
      <c r="H237" s="42">
        <f t="shared" si="38"/>
        <v>0</v>
      </c>
    </row>
    <row r="238" spans="3:10" x14ac:dyDescent="0.3">
      <c r="C238" s="210" t="s">
        <v>16</v>
      </c>
      <c r="D238" s="207" t="s">
        <v>69</v>
      </c>
      <c r="E238" s="42">
        <f t="shared" si="36"/>
        <v>0</v>
      </c>
      <c r="F238" s="42">
        <f t="shared" si="38"/>
        <v>0</v>
      </c>
      <c r="G238" s="42">
        <f t="shared" si="38"/>
        <v>0</v>
      </c>
      <c r="H238" s="42">
        <f t="shared" si="38"/>
        <v>0</v>
      </c>
    </row>
    <row r="239" spans="3:10" x14ac:dyDescent="0.3">
      <c r="C239" s="210" t="s">
        <v>17</v>
      </c>
      <c r="D239" s="207" t="s">
        <v>69</v>
      </c>
      <c r="E239" s="42">
        <f t="shared" si="36"/>
        <v>0</v>
      </c>
      <c r="F239" s="42">
        <f t="shared" si="38"/>
        <v>0</v>
      </c>
      <c r="G239" s="42">
        <f t="shared" si="38"/>
        <v>0</v>
      </c>
      <c r="H239" s="42">
        <f t="shared" si="38"/>
        <v>0</v>
      </c>
    </row>
    <row r="240" spans="3:10" x14ac:dyDescent="0.3">
      <c r="C240" s="210" t="s">
        <v>18</v>
      </c>
      <c r="D240" s="207" t="s">
        <v>69</v>
      </c>
      <c r="E240" s="42">
        <f t="shared" si="36"/>
        <v>0</v>
      </c>
      <c r="F240" s="42">
        <f t="shared" si="38"/>
        <v>0</v>
      </c>
      <c r="G240" s="42">
        <f t="shared" si="38"/>
        <v>0</v>
      </c>
      <c r="H240" s="42">
        <f t="shared" si="38"/>
        <v>0</v>
      </c>
    </row>
    <row r="241" spans="3:10" x14ac:dyDescent="0.3">
      <c r="C241" s="210" t="s">
        <v>19</v>
      </c>
      <c r="D241" s="207" t="s">
        <v>69</v>
      </c>
      <c r="E241" s="42">
        <f t="shared" si="36"/>
        <v>0</v>
      </c>
      <c r="F241" s="42">
        <f t="shared" si="38"/>
        <v>0</v>
      </c>
      <c r="G241" s="42">
        <f t="shared" si="38"/>
        <v>0</v>
      </c>
      <c r="H241" s="42">
        <f t="shared" si="38"/>
        <v>0</v>
      </c>
    </row>
    <row r="242" spans="3:10" x14ac:dyDescent="0.3">
      <c r="C242" s="213" t="s">
        <v>20</v>
      </c>
      <c r="D242" s="207" t="s">
        <v>69</v>
      </c>
      <c r="E242" s="42">
        <f t="shared" si="36"/>
        <v>0</v>
      </c>
      <c r="F242" s="42">
        <f t="shared" si="38"/>
        <v>0</v>
      </c>
      <c r="G242" s="42">
        <f t="shared" si="38"/>
        <v>0</v>
      </c>
      <c r="H242" s="42">
        <f t="shared" si="38"/>
        <v>0</v>
      </c>
    </row>
    <row r="243" spans="3:10" x14ac:dyDescent="0.3">
      <c r="C243" s="213" t="s">
        <v>21</v>
      </c>
      <c r="D243" s="207" t="s">
        <v>69</v>
      </c>
      <c r="E243" s="42" t="e">
        <f t="shared" si="36"/>
        <v>#N/A</v>
      </c>
      <c r="F243" s="42" t="e">
        <f t="shared" si="38"/>
        <v>#N/A</v>
      </c>
      <c r="G243" s="42" t="e">
        <f t="shared" si="38"/>
        <v>#N/A</v>
      </c>
      <c r="H243" s="42" t="e">
        <f t="shared" si="38"/>
        <v>#N/A</v>
      </c>
    </row>
    <row r="244" spans="3:10" x14ac:dyDescent="0.3">
      <c r="C244" s="213" t="s">
        <v>22</v>
      </c>
      <c r="D244" s="207" t="s">
        <v>69</v>
      </c>
      <c r="E244" s="42" t="e">
        <f t="shared" si="36"/>
        <v>#N/A</v>
      </c>
      <c r="F244" s="42" t="e">
        <f t="shared" si="38"/>
        <v>#N/A</v>
      </c>
      <c r="G244" s="42" t="e">
        <f t="shared" si="38"/>
        <v>#N/A</v>
      </c>
      <c r="H244" s="42" t="e">
        <f t="shared" si="38"/>
        <v>#N/A</v>
      </c>
    </row>
    <row r="245" spans="3:10" x14ac:dyDescent="0.3">
      <c r="C245" s="216" t="s">
        <v>54</v>
      </c>
      <c r="D245" s="207" t="s">
        <v>69</v>
      </c>
      <c r="E245" s="45" t="e">
        <f>SUM(E236:E244)</f>
        <v>#VALUE!</v>
      </c>
      <c r="F245" s="45" t="e">
        <f>SUM(F236:F244)</f>
        <v>#VALUE!</v>
      </c>
      <c r="G245" s="45" t="e">
        <f>SUM(G236:G244)</f>
        <v>#VALUE!</v>
      </c>
      <c r="H245" s="45" t="e">
        <f>SUM(H236:H244)</f>
        <v>#VALUE!</v>
      </c>
      <c r="J245" s="45" t="e">
        <f>SUM(E245:H245)</f>
        <v>#VALUE!</v>
      </c>
    </row>
    <row r="247" spans="3:10" x14ac:dyDescent="0.3">
      <c r="C247" s="51" t="s">
        <v>547</v>
      </c>
    </row>
    <row r="248" spans="3:10" x14ac:dyDescent="0.3">
      <c r="C248" s="20" t="s">
        <v>14</v>
      </c>
      <c r="D248" s="84" t="s">
        <v>548</v>
      </c>
      <c r="E248" s="160" t="e">
        <f t="shared" ref="E248:E256" si="39">E153*(M115+U115+AC115+AK115)</f>
        <v>#DIV/0!</v>
      </c>
      <c r="F248" s="160" t="e">
        <f t="shared" ref="F248:F256" si="40">F153*(N115+V115+AD115+AL115)</f>
        <v>#DIV/0!</v>
      </c>
      <c r="G248" s="160" t="e">
        <f t="shared" ref="G248:G256" si="41">G153*(O115+W115+AE115+AM115)</f>
        <v>#DIV/0!</v>
      </c>
      <c r="H248" s="160" t="e">
        <f t="shared" ref="H248:H256" si="42">H153*(P115+X115+AF115+AN115)</f>
        <v>#DIV/0!</v>
      </c>
    </row>
    <row r="249" spans="3:10" x14ac:dyDescent="0.3">
      <c r="C249" s="14" t="s">
        <v>15</v>
      </c>
      <c r="D249" s="84" t="s">
        <v>548</v>
      </c>
      <c r="E249" s="130">
        <f t="shared" si="39"/>
        <v>0</v>
      </c>
      <c r="F249" s="130">
        <f t="shared" si="40"/>
        <v>0</v>
      </c>
      <c r="G249" s="130">
        <f t="shared" si="41"/>
        <v>0</v>
      </c>
      <c r="H249" s="130">
        <f t="shared" si="42"/>
        <v>0</v>
      </c>
    </row>
    <row r="250" spans="3:10" x14ac:dyDescent="0.3">
      <c r="C250" s="15" t="s">
        <v>16</v>
      </c>
      <c r="D250" s="84" t="s">
        <v>548</v>
      </c>
      <c r="E250" s="130">
        <f t="shared" si="39"/>
        <v>0</v>
      </c>
      <c r="F250" s="130">
        <f t="shared" si="40"/>
        <v>0</v>
      </c>
      <c r="G250" s="130">
        <f t="shared" si="41"/>
        <v>0</v>
      </c>
      <c r="H250" s="130">
        <f t="shared" si="42"/>
        <v>0</v>
      </c>
    </row>
    <row r="251" spans="3:10" x14ac:dyDescent="0.3">
      <c r="C251" s="15" t="s">
        <v>17</v>
      </c>
      <c r="D251" s="84" t="s">
        <v>548</v>
      </c>
      <c r="E251" s="130">
        <f t="shared" si="39"/>
        <v>0</v>
      </c>
      <c r="F251" s="130">
        <f t="shared" si="40"/>
        <v>0</v>
      </c>
      <c r="G251" s="130">
        <f t="shared" si="41"/>
        <v>0</v>
      </c>
      <c r="H251" s="130">
        <f t="shared" si="42"/>
        <v>0</v>
      </c>
    </row>
    <row r="252" spans="3:10" x14ac:dyDescent="0.3">
      <c r="C252" s="15" t="s">
        <v>18</v>
      </c>
      <c r="D252" s="84" t="s">
        <v>548</v>
      </c>
      <c r="E252" s="130">
        <f t="shared" si="39"/>
        <v>0</v>
      </c>
      <c r="F252" s="130">
        <f t="shared" si="40"/>
        <v>0</v>
      </c>
      <c r="G252" s="130">
        <f t="shared" si="41"/>
        <v>0</v>
      </c>
      <c r="H252" s="130">
        <f t="shared" si="42"/>
        <v>0</v>
      </c>
    </row>
    <row r="253" spans="3:10" x14ac:dyDescent="0.3">
      <c r="C253" s="15" t="s">
        <v>19</v>
      </c>
      <c r="D253" s="84" t="s">
        <v>548</v>
      </c>
      <c r="E253" s="130">
        <f t="shared" si="39"/>
        <v>0</v>
      </c>
      <c r="F253" s="130">
        <f t="shared" si="40"/>
        <v>0</v>
      </c>
      <c r="G253" s="130">
        <f t="shared" si="41"/>
        <v>0</v>
      </c>
      <c r="H253" s="130">
        <f t="shared" si="42"/>
        <v>0</v>
      </c>
    </row>
    <row r="254" spans="3:10" x14ac:dyDescent="0.3">
      <c r="C254" s="14" t="s">
        <v>20</v>
      </c>
      <c r="D254" s="84" t="s">
        <v>548</v>
      </c>
      <c r="E254" s="130">
        <f t="shared" si="39"/>
        <v>0</v>
      </c>
      <c r="F254" s="130">
        <f t="shared" si="40"/>
        <v>0</v>
      </c>
      <c r="G254" s="130">
        <f t="shared" si="41"/>
        <v>0</v>
      </c>
      <c r="H254" s="130">
        <f t="shared" si="42"/>
        <v>0</v>
      </c>
    </row>
    <row r="255" spans="3:10" x14ac:dyDescent="0.3">
      <c r="C255" s="14" t="s">
        <v>21</v>
      </c>
      <c r="D255" s="84" t="s">
        <v>548</v>
      </c>
      <c r="E255" s="160" t="e">
        <f t="shared" si="39"/>
        <v>#DIV/0!</v>
      </c>
      <c r="F255" s="160" t="e">
        <f t="shared" si="40"/>
        <v>#DIV/0!</v>
      </c>
      <c r="G255" s="160" t="e">
        <f t="shared" si="41"/>
        <v>#DIV/0!</v>
      </c>
      <c r="H255" s="160" t="e">
        <f t="shared" si="42"/>
        <v>#DIV/0!</v>
      </c>
    </row>
    <row r="256" spans="3:10" x14ac:dyDescent="0.3">
      <c r="C256" s="14" t="s">
        <v>22</v>
      </c>
      <c r="D256" s="84" t="s">
        <v>548</v>
      </c>
      <c r="E256" s="160" t="e">
        <f t="shared" si="39"/>
        <v>#DIV/0!</v>
      </c>
      <c r="F256" s="160" t="e">
        <f t="shared" si="40"/>
        <v>#DIV/0!</v>
      </c>
      <c r="G256" s="160" t="e">
        <f t="shared" si="41"/>
        <v>#DIV/0!</v>
      </c>
      <c r="H256" s="160" t="e">
        <f t="shared" si="42"/>
        <v>#DIV/0!</v>
      </c>
    </row>
    <row r="257" spans="3:10" x14ac:dyDescent="0.3">
      <c r="C257" s="102" t="s">
        <v>54</v>
      </c>
      <c r="D257" s="84" t="s">
        <v>548</v>
      </c>
      <c r="E257" s="200" t="e">
        <f>SUM(E248:E256)</f>
        <v>#DIV/0!</v>
      </c>
      <c r="F257" s="200" t="e">
        <f t="shared" ref="F257" si="43">SUM(F248:F256)</f>
        <v>#DIV/0!</v>
      </c>
      <c r="G257" s="200" t="e">
        <f t="shared" ref="G257" si="44">SUM(G248:G256)</f>
        <v>#DIV/0!</v>
      </c>
      <c r="H257" s="200" t="e">
        <f t="shared" ref="H257" si="45">SUM(H248:H256)</f>
        <v>#DIV/0!</v>
      </c>
      <c r="J257" s="200" t="e">
        <f>SUM(E257:H257)</f>
        <v>#DIV/0!</v>
      </c>
    </row>
    <row r="259" spans="3:10" x14ac:dyDescent="0.3">
      <c r="C259" s="51" t="s">
        <v>549</v>
      </c>
    </row>
    <row r="260" spans="3:10" x14ac:dyDescent="0.3">
      <c r="C260" s="209" t="s">
        <v>14</v>
      </c>
      <c r="D260" s="207" t="s">
        <v>550</v>
      </c>
      <c r="E260" s="160" t="e">
        <f t="shared" ref="E260:E268" si="46">E153*(M115+U115+AC115+AK115)*E$64</f>
        <v>#DIV/0!</v>
      </c>
      <c r="F260" s="160" t="e">
        <f t="shared" ref="F260:F268" si="47">F153*(N115+V115+AD115+AL115)*F$64</f>
        <v>#DIV/0!</v>
      </c>
      <c r="G260" s="160" t="e">
        <f t="shared" ref="G260:G268" si="48">G153*(O115+W115+AE115+AM115)*G$64</f>
        <v>#DIV/0!</v>
      </c>
      <c r="H260" s="160" t="e">
        <f t="shared" ref="H260:H268" si="49">H153*(P115+X115+AF115+AN115)*H$64</f>
        <v>#DIV/0!</v>
      </c>
    </row>
    <row r="261" spans="3:10" x14ac:dyDescent="0.3">
      <c r="C261" s="213" t="s">
        <v>15</v>
      </c>
      <c r="D261" s="207" t="s">
        <v>550</v>
      </c>
      <c r="E261" s="130">
        <f t="shared" si="46"/>
        <v>0</v>
      </c>
      <c r="F261" s="130">
        <f t="shared" si="47"/>
        <v>0</v>
      </c>
      <c r="G261" s="130">
        <f t="shared" si="48"/>
        <v>0</v>
      </c>
      <c r="H261" s="130">
        <f t="shared" si="49"/>
        <v>0</v>
      </c>
    </row>
    <row r="262" spans="3:10" x14ac:dyDescent="0.3">
      <c r="C262" s="210" t="s">
        <v>16</v>
      </c>
      <c r="D262" s="207" t="s">
        <v>550</v>
      </c>
      <c r="E262" s="130">
        <f t="shared" si="46"/>
        <v>0</v>
      </c>
      <c r="F262" s="130">
        <f t="shared" si="47"/>
        <v>0</v>
      </c>
      <c r="G262" s="130">
        <f t="shared" si="48"/>
        <v>0</v>
      </c>
      <c r="H262" s="130">
        <f t="shared" si="49"/>
        <v>0</v>
      </c>
    </row>
    <row r="263" spans="3:10" x14ac:dyDescent="0.3">
      <c r="C263" s="210" t="s">
        <v>17</v>
      </c>
      <c r="D263" s="207" t="s">
        <v>550</v>
      </c>
      <c r="E263" s="130">
        <f t="shared" si="46"/>
        <v>0</v>
      </c>
      <c r="F263" s="130">
        <f t="shared" si="47"/>
        <v>0</v>
      </c>
      <c r="G263" s="130">
        <f t="shared" si="48"/>
        <v>0</v>
      </c>
      <c r="H263" s="130">
        <f t="shared" si="49"/>
        <v>0</v>
      </c>
    </row>
    <row r="264" spans="3:10" x14ac:dyDescent="0.3">
      <c r="C264" s="210" t="s">
        <v>18</v>
      </c>
      <c r="D264" s="207" t="s">
        <v>550</v>
      </c>
      <c r="E264" s="130">
        <f t="shared" si="46"/>
        <v>0</v>
      </c>
      <c r="F264" s="130">
        <f t="shared" si="47"/>
        <v>0</v>
      </c>
      <c r="G264" s="130">
        <f t="shared" si="48"/>
        <v>0</v>
      </c>
      <c r="H264" s="130">
        <f t="shared" si="49"/>
        <v>0</v>
      </c>
    </row>
    <row r="265" spans="3:10" x14ac:dyDescent="0.3">
      <c r="C265" s="210" t="s">
        <v>19</v>
      </c>
      <c r="D265" s="207" t="s">
        <v>550</v>
      </c>
      <c r="E265" s="130">
        <f t="shared" si="46"/>
        <v>0</v>
      </c>
      <c r="F265" s="130">
        <f t="shared" si="47"/>
        <v>0</v>
      </c>
      <c r="G265" s="130">
        <f t="shared" si="48"/>
        <v>0</v>
      </c>
      <c r="H265" s="130">
        <f t="shared" si="49"/>
        <v>0</v>
      </c>
    </row>
    <row r="266" spans="3:10" x14ac:dyDescent="0.3">
      <c r="C266" s="213" t="s">
        <v>20</v>
      </c>
      <c r="D266" s="207" t="s">
        <v>550</v>
      </c>
      <c r="E266" s="130">
        <f t="shared" si="46"/>
        <v>0</v>
      </c>
      <c r="F266" s="130">
        <f t="shared" si="47"/>
        <v>0</v>
      </c>
      <c r="G266" s="130">
        <f t="shared" si="48"/>
        <v>0</v>
      </c>
      <c r="H266" s="130">
        <f t="shared" si="49"/>
        <v>0</v>
      </c>
    </row>
    <row r="267" spans="3:10" x14ac:dyDescent="0.3">
      <c r="C267" s="213" t="s">
        <v>21</v>
      </c>
      <c r="D267" s="207" t="s">
        <v>550</v>
      </c>
      <c r="E267" s="160" t="e">
        <f t="shared" si="46"/>
        <v>#DIV/0!</v>
      </c>
      <c r="F267" s="160" t="e">
        <f t="shared" si="47"/>
        <v>#DIV/0!</v>
      </c>
      <c r="G267" s="160" t="e">
        <f t="shared" si="48"/>
        <v>#DIV/0!</v>
      </c>
      <c r="H267" s="160" t="e">
        <f t="shared" si="49"/>
        <v>#DIV/0!</v>
      </c>
    </row>
    <row r="268" spans="3:10" x14ac:dyDescent="0.3">
      <c r="C268" s="213" t="s">
        <v>22</v>
      </c>
      <c r="D268" s="207" t="s">
        <v>550</v>
      </c>
      <c r="E268" s="160" t="e">
        <f t="shared" si="46"/>
        <v>#DIV/0!</v>
      </c>
      <c r="F268" s="160" t="e">
        <f t="shared" si="47"/>
        <v>#DIV/0!</v>
      </c>
      <c r="G268" s="160" t="e">
        <f t="shared" si="48"/>
        <v>#DIV/0!</v>
      </c>
      <c r="H268" s="160" t="e">
        <f t="shared" si="49"/>
        <v>#DIV/0!</v>
      </c>
    </row>
    <row r="269" spans="3:10" x14ac:dyDescent="0.3">
      <c r="C269" s="216" t="s">
        <v>54</v>
      </c>
      <c r="D269" s="207" t="s">
        <v>550</v>
      </c>
      <c r="E269" s="200" t="e">
        <f>SUM(E260:E268)</f>
        <v>#DIV/0!</v>
      </c>
      <c r="F269" s="200" t="e">
        <f>SUM(F260:F268)</f>
        <v>#DIV/0!</v>
      </c>
      <c r="G269" s="200" t="e">
        <f>SUM(G260:G268)</f>
        <v>#DIV/0!</v>
      </c>
      <c r="H269" s="200" t="e">
        <f>SUM(H260:H268)</f>
        <v>#DIV/0!</v>
      </c>
      <c r="J269" s="200" t="e">
        <f>SUM(E269:H269)</f>
        <v>#DIV/0!</v>
      </c>
    </row>
    <row r="271" spans="3:10" x14ac:dyDescent="0.3">
      <c r="C271" s="51" t="s">
        <v>537</v>
      </c>
    </row>
    <row r="272" spans="3:10" x14ac:dyDescent="0.3">
      <c r="C272" s="20" t="s">
        <v>14</v>
      </c>
      <c r="D272" s="84" t="s">
        <v>272</v>
      </c>
      <c r="E272" s="159" t="e">
        <f t="shared" ref="E272:H280" si="50">E153*E139</f>
        <v>#DIV/0!</v>
      </c>
      <c r="F272" s="159" t="e">
        <f t="shared" si="50"/>
        <v>#DIV/0!</v>
      </c>
      <c r="G272" s="159" t="e">
        <f t="shared" si="50"/>
        <v>#DIV/0!</v>
      </c>
      <c r="H272" s="159" t="e">
        <f t="shared" si="50"/>
        <v>#DIV/0!</v>
      </c>
    </row>
    <row r="273" spans="3:10" x14ac:dyDescent="0.3">
      <c r="C273" s="14" t="s">
        <v>15</v>
      </c>
      <c r="D273" s="84" t="s">
        <v>272</v>
      </c>
      <c r="E273" s="42">
        <f t="shared" si="50"/>
        <v>0</v>
      </c>
      <c r="F273" s="42">
        <f t="shared" si="50"/>
        <v>0</v>
      </c>
      <c r="G273" s="42">
        <f t="shared" si="50"/>
        <v>0</v>
      </c>
      <c r="H273" s="42">
        <f t="shared" si="50"/>
        <v>0</v>
      </c>
    </row>
    <row r="274" spans="3:10" x14ac:dyDescent="0.3">
      <c r="C274" s="15" t="s">
        <v>16</v>
      </c>
      <c r="D274" s="84" t="s">
        <v>272</v>
      </c>
      <c r="E274" s="42">
        <f t="shared" si="50"/>
        <v>0</v>
      </c>
      <c r="F274" s="42">
        <f t="shared" si="50"/>
        <v>0</v>
      </c>
      <c r="G274" s="42">
        <f t="shared" si="50"/>
        <v>0</v>
      </c>
      <c r="H274" s="42">
        <f t="shared" si="50"/>
        <v>0</v>
      </c>
    </row>
    <row r="275" spans="3:10" x14ac:dyDescent="0.3">
      <c r="C275" s="15" t="s">
        <v>17</v>
      </c>
      <c r="D275" s="84" t="s">
        <v>272</v>
      </c>
      <c r="E275" s="42">
        <f t="shared" si="50"/>
        <v>0</v>
      </c>
      <c r="F275" s="42">
        <f t="shared" si="50"/>
        <v>0</v>
      </c>
      <c r="G275" s="42">
        <f t="shared" si="50"/>
        <v>0</v>
      </c>
      <c r="H275" s="42">
        <f t="shared" si="50"/>
        <v>0</v>
      </c>
    </row>
    <row r="276" spans="3:10" x14ac:dyDescent="0.3">
      <c r="C276" s="15" t="s">
        <v>18</v>
      </c>
      <c r="D276" s="84" t="s">
        <v>272</v>
      </c>
      <c r="E276" s="42">
        <f t="shared" si="50"/>
        <v>0</v>
      </c>
      <c r="F276" s="42">
        <f t="shared" si="50"/>
        <v>0</v>
      </c>
      <c r="G276" s="42">
        <f t="shared" si="50"/>
        <v>0</v>
      </c>
      <c r="H276" s="42">
        <f t="shared" si="50"/>
        <v>0</v>
      </c>
    </row>
    <row r="277" spans="3:10" x14ac:dyDescent="0.3">
      <c r="C277" s="15" t="s">
        <v>19</v>
      </c>
      <c r="D277" s="84" t="s">
        <v>272</v>
      </c>
      <c r="E277" s="42">
        <f t="shared" si="50"/>
        <v>0</v>
      </c>
      <c r="F277" s="42">
        <f t="shared" si="50"/>
        <v>0</v>
      </c>
      <c r="G277" s="42">
        <f t="shared" si="50"/>
        <v>0</v>
      </c>
      <c r="H277" s="42">
        <f t="shared" si="50"/>
        <v>0</v>
      </c>
    </row>
    <row r="278" spans="3:10" x14ac:dyDescent="0.3">
      <c r="C278" s="14" t="s">
        <v>20</v>
      </c>
      <c r="D278" s="84" t="s">
        <v>272</v>
      </c>
      <c r="E278" s="42">
        <f t="shared" si="50"/>
        <v>0</v>
      </c>
      <c r="F278" s="42">
        <f t="shared" si="50"/>
        <v>0</v>
      </c>
      <c r="G278" s="42">
        <f t="shared" si="50"/>
        <v>0</v>
      </c>
      <c r="H278" s="42">
        <f t="shared" si="50"/>
        <v>0</v>
      </c>
    </row>
    <row r="279" spans="3:10" x14ac:dyDescent="0.3">
      <c r="C279" s="14" t="s">
        <v>21</v>
      </c>
      <c r="D279" s="84" t="s">
        <v>272</v>
      </c>
      <c r="E279" s="159" t="e">
        <f t="shared" si="50"/>
        <v>#DIV/0!</v>
      </c>
      <c r="F279" s="159" t="e">
        <f t="shared" si="50"/>
        <v>#DIV/0!</v>
      </c>
      <c r="G279" s="159" t="e">
        <f t="shared" si="50"/>
        <v>#DIV/0!</v>
      </c>
      <c r="H279" s="159" t="e">
        <f t="shared" si="50"/>
        <v>#DIV/0!</v>
      </c>
    </row>
    <row r="280" spans="3:10" x14ac:dyDescent="0.3">
      <c r="C280" s="14" t="s">
        <v>22</v>
      </c>
      <c r="D280" s="84" t="s">
        <v>272</v>
      </c>
      <c r="E280" s="159" t="e">
        <f t="shared" si="50"/>
        <v>#DIV/0!</v>
      </c>
      <c r="F280" s="159" t="e">
        <f t="shared" si="50"/>
        <v>#DIV/0!</v>
      </c>
      <c r="G280" s="159" t="e">
        <f t="shared" si="50"/>
        <v>#DIV/0!</v>
      </c>
      <c r="H280" s="159" t="e">
        <f t="shared" si="50"/>
        <v>#DIV/0!</v>
      </c>
    </row>
    <row r="281" spans="3:10" x14ac:dyDescent="0.3">
      <c r="C281" s="102" t="s">
        <v>54</v>
      </c>
      <c r="D281" s="133" t="s">
        <v>272</v>
      </c>
      <c r="E281" s="45" t="e">
        <f>SUM(E272:E280)</f>
        <v>#DIV/0!</v>
      </c>
      <c r="F281" s="45" t="e">
        <f t="shared" ref="F281" si="51">SUM(F272:F280)</f>
        <v>#DIV/0!</v>
      </c>
      <c r="G281" s="45" t="e">
        <f t="shared" ref="G281" si="52">SUM(G272:G280)</f>
        <v>#DIV/0!</v>
      </c>
      <c r="H281" s="45" t="e">
        <f t="shared" ref="H281" si="53">SUM(H272:H280)</f>
        <v>#DIV/0!</v>
      </c>
      <c r="J281" s="45" t="e">
        <f>SUM(E281:H281)</f>
        <v>#DIV/0!</v>
      </c>
    </row>
    <row r="283" spans="3:10" x14ac:dyDescent="0.3">
      <c r="C283" s="51" t="s">
        <v>551</v>
      </c>
    </row>
    <row r="284" spans="3:10" x14ac:dyDescent="0.3">
      <c r="C284" s="209" t="s">
        <v>14</v>
      </c>
      <c r="D284" s="207" t="s">
        <v>69</v>
      </c>
      <c r="E284" s="159" t="e">
        <f>E153*E139*$J139</f>
        <v>#DIV/0!</v>
      </c>
      <c r="F284" s="159" t="e">
        <f t="shared" ref="F284:H284" si="54">F153*F139*$J139</f>
        <v>#DIV/0!</v>
      </c>
      <c r="G284" s="159" t="e">
        <f t="shared" si="54"/>
        <v>#DIV/0!</v>
      </c>
      <c r="H284" s="159" t="e">
        <f t="shared" si="54"/>
        <v>#DIV/0!</v>
      </c>
    </row>
    <row r="285" spans="3:10" x14ac:dyDescent="0.3">
      <c r="C285" s="213" t="s">
        <v>15</v>
      </c>
      <c r="D285" s="207" t="s">
        <v>69</v>
      </c>
      <c r="E285" s="42">
        <f t="shared" ref="E285:H292" si="55">E154*E140*$J140</f>
        <v>0</v>
      </c>
      <c r="F285" s="42">
        <f t="shared" si="55"/>
        <v>0</v>
      </c>
      <c r="G285" s="42">
        <f t="shared" si="55"/>
        <v>0</v>
      </c>
      <c r="H285" s="42">
        <f t="shared" si="55"/>
        <v>0</v>
      </c>
    </row>
    <row r="286" spans="3:10" x14ac:dyDescent="0.3">
      <c r="C286" s="210" t="s">
        <v>16</v>
      </c>
      <c r="D286" s="207" t="s">
        <v>69</v>
      </c>
      <c r="E286" s="42">
        <f t="shared" si="55"/>
        <v>0</v>
      </c>
      <c r="F286" s="42">
        <f t="shared" si="55"/>
        <v>0</v>
      </c>
      <c r="G286" s="42">
        <f t="shared" si="55"/>
        <v>0</v>
      </c>
      <c r="H286" s="42">
        <f t="shared" si="55"/>
        <v>0</v>
      </c>
    </row>
    <row r="287" spans="3:10" x14ac:dyDescent="0.3">
      <c r="C287" s="210" t="s">
        <v>17</v>
      </c>
      <c r="D287" s="207" t="s">
        <v>69</v>
      </c>
      <c r="E287" s="42">
        <f t="shared" si="55"/>
        <v>0</v>
      </c>
      <c r="F287" s="42">
        <f t="shared" si="55"/>
        <v>0</v>
      </c>
      <c r="G287" s="42">
        <f t="shared" si="55"/>
        <v>0</v>
      </c>
      <c r="H287" s="42">
        <f t="shared" si="55"/>
        <v>0</v>
      </c>
    </row>
    <row r="288" spans="3:10" x14ac:dyDescent="0.3">
      <c r="C288" s="210" t="s">
        <v>18</v>
      </c>
      <c r="D288" s="207" t="s">
        <v>69</v>
      </c>
      <c r="E288" s="42">
        <f t="shared" si="55"/>
        <v>0</v>
      </c>
      <c r="F288" s="42">
        <f t="shared" si="55"/>
        <v>0</v>
      </c>
      <c r="G288" s="42">
        <f t="shared" si="55"/>
        <v>0</v>
      </c>
      <c r="H288" s="42">
        <f t="shared" si="55"/>
        <v>0</v>
      </c>
    </row>
    <row r="289" spans="3:10" x14ac:dyDescent="0.3">
      <c r="C289" s="210" t="s">
        <v>19</v>
      </c>
      <c r="D289" s="207" t="s">
        <v>69</v>
      </c>
      <c r="E289" s="42">
        <f t="shared" si="55"/>
        <v>0</v>
      </c>
      <c r="F289" s="42">
        <f t="shared" si="55"/>
        <v>0</v>
      </c>
      <c r="G289" s="42">
        <f t="shared" si="55"/>
        <v>0</v>
      </c>
      <c r="H289" s="42">
        <f t="shared" si="55"/>
        <v>0</v>
      </c>
    </row>
    <row r="290" spans="3:10" x14ac:dyDescent="0.3">
      <c r="C290" s="213" t="s">
        <v>20</v>
      </c>
      <c r="D290" s="207" t="s">
        <v>69</v>
      </c>
      <c r="E290" s="42">
        <f t="shared" si="55"/>
        <v>0</v>
      </c>
      <c r="F290" s="42">
        <f t="shared" si="55"/>
        <v>0</v>
      </c>
      <c r="G290" s="42">
        <f t="shared" si="55"/>
        <v>0</v>
      </c>
      <c r="H290" s="42">
        <f t="shared" si="55"/>
        <v>0</v>
      </c>
    </row>
    <row r="291" spans="3:10" x14ac:dyDescent="0.3">
      <c r="C291" s="213" t="s">
        <v>21</v>
      </c>
      <c r="D291" s="207" t="s">
        <v>69</v>
      </c>
      <c r="E291" s="159" t="e">
        <f t="shared" si="55"/>
        <v>#DIV/0!</v>
      </c>
      <c r="F291" s="159" t="e">
        <f t="shared" si="55"/>
        <v>#DIV/0!</v>
      </c>
      <c r="G291" s="159" t="e">
        <f t="shared" si="55"/>
        <v>#DIV/0!</v>
      </c>
      <c r="H291" s="159" t="e">
        <f t="shared" si="55"/>
        <v>#DIV/0!</v>
      </c>
    </row>
    <row r="292" spans="3:10" x14ac:dyDescent="0.3">
      <c r="C292" s="213" t="s">
        <v>22</v>
      </c>
      <c r="D292" s="207" t="s">
        <v>69</v>
      </c>
      <c r="E292" s="159" t="e">
        <f t="shared" si="55"/>
        <v>#DIV/0!</v>
      </c>
      <c r="F292" s="159" t="e">
        <f t="shared" si="55"/>
        <v>#DIV/0!</v>
      </c>
      <c r="G292" s="159" t="e">
        <f t="shared" si="55"/>
        <v>#DIV/0!</v>
      </c>
      <c r="H292" s="159" t="e">
        <f t="shared" si="55"/>
        <v>#DIV/0!</v>
      </c>
    </row>
    <row r="293" spans="3:10" x14ac:dyDescent="0.3">
      <c r="C293" s="216" t="s">
        <v>54</v>
      </c>
      <c r="D293" s="207" t="s">
        <v>69</v>
      </c>
      <c r="E293" s="45" t="e">
        <f>SUM(E284:E292)</f>
        <v>#DIV/0!</v>
      </c>
      <c r="F293" s="45" t="e">
        <f>SUM(F284:F292)</f>
        <v>#DIV/0!</v>
      </c>
      <c r="G293" s="45" t="e">
        <f>SUM(G284:G292)</f>
        <v>#DIV/0!</v>
      </c>
      <c r="H293" s="45" t="e">
        <f>SUM(H284:H292)</f>
        <v>#DIV/0!</v>
      </c>
      <c r="J293" s="45" t="e">
        <f>SUM(E293:H293)</f>
        <v>#DIV/0!</v>
      </c>
    </row>
  </sheetData>
  <sheetProtection algorithmName="SHA-512" hashValue="hTIPpvJ/1GxO35NDHyiV10N3gtct1cPcFeTCV7rKtcsYqJoaYc+AkMuolzuUZMi6cylAi1mnrpNyh8VHSdVHsQ==" saltValue="kjm79OtNytTK9dzhCC6WfA==" spinCount="100000" sheet="1" objects="1" scenarios="1"/>
  <mergeCells count="8">
    <mergeCell ref="E151:F151"/>
    <mergeCell ref="G151:H151"/>
    <mergeCell ref="E6:F6"/>
    <mergeCell ref="G6:H6"/>
    <mergeCell ref="E49:F49"/>
    <mergeCell ref="G49:H49"/>
    <mergeCell ref="E90:F90"/>
    <mergeCell ref="G90:H90"/>
  </mergeCells>
  <phoneticPr fontId="21" type="noConversion"/>
  <hyperlinks>
    <hyperlink ref="J9" r:id="rId1" xr:uid="{D3B1FA8B-2405-4DA1-B643-7CDE49A8F71D}"/>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F962D-7FB3-4225-BBFA-7F64A4A53412}">
  <sheetPr>
    <tabColor rgb="FF00B0F0"/>
  </sheetPr>
  <dimension ref="B2:AN302"/>
  <sheetViews>
    <sheetView zoomScaleNormal="100" workbookViewId="0">
      <pane ySplit="7" topLeftCell="A8" activePane="bottomLeft" state="frozen"/>
      <selection activeCell="B1" sqref="B1"/>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35" width="8.85546875" style="17"/>
    <col min="36" max="36" width="14" style="17" customWidth="1"/>
    <col min="37" max="16384" width="8.85546875" style="17"/>
  </cols>
  <sheetData>
    <row r="2" spans="2:18" s="16" customFormat="1" ht="17.25" x14ac:dyDescent="0.3">
      <c r="C2" s="16" t="s">
        <v>145</v>
      </c>
      <c r="D2" s="16" t="s">
        <v>146</v>
      </c>
      <c r="M2" s="201"/>
    </row>
    <row r="3" spans="2:18" x14ac:dyDescent="0.3">
      <c r="M3" s="169"/>
    </row>
    <row r="4" spans="2:18" ht="20.25" x14ac:dyDescent="0.35">
      <c r="B4" s="77"/>
      <c r="C4" s="81" t="s">
        <v>710</v>
      </c>
      <c r="D4" s="76"/>
    </row>
    <row r="5" spans="2:18" s="18" customFormat="1" ht="17.25" thickBot="1" x14ac:dyDescent="0.35">
      <c r="B5" s="19" t="s">
        <v>153</v>
      </c>
      <c r="C5" s="19" t="s">
        <v>154</v>
      </c>
      <c r="D5" s="19" t="s">
        <v>32</v>
      </c>
      <c r="E5" s="19" t="s">
        <v>155</v>
      </c>
      <c r="F5" s="19"/>
      <c r="G5" s="19" t="s">
        <v>155</v>
      </c>
      <c r="H5" s="19"/>
      <c r="I5" s="19"/>
      <c r="J5" s="56" t="s">
        <v>156</v>
      </c>
      <c r="K5" s="56"/>
    </row>
    <row r="6" spans="2:18" s="30" customFormat="1" ht="18" thickTop="1" thickBot="1" x14ac:dyDescent="0.35">
      <c r="B6" s="28"/>
      <c r="C6" s="29" t="s">
        <v>157</v>
      </c>
      <c r="D6" s="29"/>
      <c r="E6" s="335" t="s">
        <v>5</v>
      </c>
      <c r="F6" s="335"/>
      <c r="G6" s="335" t="s">
        <v>6</v>
      </c>
      <c r="H6" s="335"/>
      <c r="I6" s="28"/>
      <c r="J6" s="28"/>
      <c r="K6" s="57"/>
    </row>
    <row r="7" spans="2:18" ht="18" thickTop="1" thickBot="1" x14ac:dyDescent="0.35">
      <c r="B7" s="19"/>
      <c r="C7" s="29" t="s">
        <v>158</v>
      </c>
      <c r="D7" s="29"/>
      <c r="E7" s="29" t="s">
        <v>7</v>
      </c>
      <c r="F7" s="29" t="s">
        <v>8</v>
      </c>
      <c r="G7" s="29" t="s">
        <v>7</v>
      </c>
      <c r="H7" s="29" t="s">
        <v>8</v>
      </c>
      <c r="I7" s="19"/>
      <c r="J7" s="19"/>
      <c r="K7" s="56"/>
    </row>
    <row r="8" spans="2:18" ht="17.25" thickTop="1" x14ac:dyDescent="0.3">
      <c r="C8" s="27" t="s">
        <v>607</v>
      </c>
      <c r="D8" s="15"/>
      <c r="L8" s="20"/>
    </row>
    <row r="9" spans="2:18" x14ac:dyDescent="0.3">
      <c r="C9" s="20" t="s">
        <v>608</v>
      </c>
      <c r="D9" s="15" t="s">
        <v>168</v>
      </c>
      <c r="E9" s="38">
        <v>6</v>
      </c>
      <c r="F9" s="38">
        <v>1</v>
      </c>
      <c r="G9" s="38">
        <v>5</v>
      </c>
      <c r="H9" s="38">
        <v>1</v>
      </c>
      <c r="J9" s="103" t="s">
        <v>711</v>
      </c>
      <c r="K9" s="103" t="s">
        <v>711</v>
      </c>
      <c r="L9" s="15" t="s">
        <v>168</v>
      </c>
      <c r="M9" s="15"/>
    </row>
    <row r="10" spans="2:18" x14ac:dyDescent="0.3">
      <c r="C10" s="20" t="s">
        <v>611</v>
      </c>
      <c r="D10" s="15" t="s">
        <v>166</v>
      </c>
      <c r="E10" s="38">
        <v>2</v>
      </c>
      <c r="F10" s="38">
        <v>1</v>
      </c>
      <c r="G10" s="38">
        <v>2</v>
      </c>
      <c r="H10" s="38">
        <v>1</v>
      </c>
      <c r="J10" s="102" t="s">
        <v>712</v>
      </c>
      <c r="K10" s="82"/>
      <c r="N10" s="83">
        <v>1</v>
      </c>
      <c r="O10" s="84" t="s">
        <v>168</v>
      </c>
    </row>
    <row r="11" spans="2:18" ht="17.25" thickBot="1" x14ac:dyDescent="0.35">
      <c r="C11" s="20" t="s">
        <v>613</v>
      </c>
      <c r="D11" s="46"/>
      <c r="E11" s="97">
        <f>E9+E10*$N$10</f>
        <v>8</v>
      </c>
      <c r="F11" s="97">
        <f>F9+F10*$N$10</f>
        <v>2</v>
      </c>
      <c r="G11" s="97">
        <f>G9+G10*$N$10</f>
        <v>7</v>
      </c>
      <c r="H11" s="97">
        <f>H9+H10*$N$10</f>
        <v>2</v>
      </c>
      <c r="N11" s="36"/>
    </row>
    <row r="12" spans="2:18" ht="17.25" thickTop="1" x14ac:dyDescent="0.3">
      <c r="C12" s="27" t="s">
        <v>614</v>
      </c>
      <c r="D12" s="15"/>
      <c r="J12" s="102" t="s">
        <v>615</v>
      </c>
      <c r="L12" s="20"/>
      <c r="N12" s="102" t="s">
        <v>616</v>
      </c>
      <c r="P12" s="15" t="s">
        <v>617</v>
      </c>
      <c r="Q12" s="15" t="s">
        <v>618</v>
      </c>
    </row>
    <row r="13" spans="2:18" x14ac:dyDescent="0.3">
      <c r="C13" s="84" t="s">
        <v>615</v>
      </c>
      <c r="D13" s="15" t="s">
        <v>619</v>
      </c>
      <c r="E13" s="109">
        <v>1.6E-2</v>
      </c>
      <c r="F13" s="109">
        <f>E13</f>
        <v>1.6E-2</v>
      </c>
      <c r="G13" s="109">
        <f t="shared" ref="G13:H13" si="0">F13</f>
        <v>1.6E-2</v>
      </c>
      <c r="H13" s="109">
        <f t="shared" si="0"/>
        <v>1.6E-2</v>
      </c>
      <c r="J13" s="84" t="s">
        <v>620</v>
      </c>
      <c r="K13" s="103">
        <v>380</v>
      </c>
      <c r="L13" s="15" t="s">
        <v>619</v>
      </c>
      <c r="N13" s="84" t="s">
        <v>620</v>
      </c>
      <c r="O13" s="84" t="s">
        <v>621</v>
      </c>
      <c r="P13" s="84">
        <v>12</v>
      </c>
      <c r="Q13" s="84">
        <v>14</v>
      </c>
      <c r="R13" s="15" t="s">
        <v>622</v>
      </c>
    </row>
    <row r="14" spans="2:18" x14ac:dyDescent="0.3">
      <c r="C14" s="20" t="s">
        <v>623</v>
      </c>
      <c r="D14" s="15" t="s">
        <v>622</v>
      </c>
      <c r="E14" s="25">
        <v>20</v>
      </c>
      <c r="F14" s="25">
        <v>20</v>
      </c>
      <c r="G14" s="25">
        <v>20</v>
      </c>
      <c r="H14" s="25">
        <v>20</v>
      </c>
      <c r="J14" s="84" t="s">
        <v>624</v>
      </c>
      <c r="K14" s="103">
        <v>50</v>
      </c>
      <c r="L14" s="15" t="s">
        <v>619</v>
      </c>
      <c r="N14" s="84" t="s">
        <v>620</v>
      </c>
      <c r="O14" s="84" t="s">
        <v>625</v>
      </c>
      <c r="P14" s="84">
        <v>16</v>
      </c>
      <c r="Q14" s="84">
        <v>18</v>
      </c>
      <c r="R14" s="15" t="s">
        <v>622</v>
      </c>
    </row>
    <row r="15" spans="2:18" ht="17.25" thickBot="1" x14ac:dyDescent="0.35">
      <c r="C15" s="20" t="s">
        <v>626</v>
      </c>
      <c r="D15" s="15" t="s">
        <v>622</v>
      </c>
      <c r="E15" s="42">
        <f>E14+4</f>
        <v>24</v>
      </c>
      <c r="F15" s="42">
        <f t="shared" ref="F15:H15" si="1">F14+4</f>
        <v>24</v>
      </c>
      <c r="G15" s="42">
        <f t="shared" si="1"/>
        <v>24</v>
      </c>
      <c r="H15" s="42">
        <f t="shared" si="1"/>
        <v>24</v>
      </c>
      <c r="J15" s="20" t="s">
        <v>627</v>
      </c>
      <c r="K15" s="107">
        <v>0.45</v>
      </c>
      <c r="L15" s="15" t="s">
        <v>619</v>
      </c>
      <c r="N15" s="84" t="s">
        <v>620</v>
      </c>
      <c r="O15" s="84" t="s">
        <v>628</v>
      </c>
      <c r="P15" s="84">
        <v>20</v>
      </c>
      <c r="Q15" s="84">
        <v>22</v>
      </c>
      <c r="R15" s="15" t="s">
        <v>622</v>
      </c>
    </row>
    <row r="16" spans="2:18" ht="17.25" thickTop="1" x14ac:dyDescent="0.3">
      <c r="C16" s="27" t="s">
        <v>629</v>
      </c>
      <c r="L16" s="84"/>
      <c r="N16" s="84" t="s">
        <v>624</v>
      </c>
      <c r="O16" s="84" t="s">
        <v>628</v>
      </c>
      <c r="P16" s="84">
        <v>20</v>
      </c>
      <c r="Q16" s="84">
        <v>26.9</v>
      </c>
      <c r="R16" s="15" t="s">
        <v>622</v>
      </c>
    </row>
    <row r="17" spans="3:18" x14ac:dyDescent="0.3">
      <c r="C17" s="14" t="s">
        <v>630</v>
      </c>
      <c r="D17" s="15" t="s">
        <v>184</v>
      </c>
      <c r="E17" s="25">
        <v>60</v>
      </c>
      <c r="F17" s="25">
        <v>50</v>
      </c>
      <c r="G17" s="25">
        <v>60</v>
      </c>
      <c r="H17" s="25">
        <v>55</v>
      </c>
      <c r="N17" s="20" t="s">
        <v>627</v>
      </c>
      <c r="O17" s="84" t="s">
        <v>621</v>
      </c>
      <c r="P17" s="84">
        <v>12</v>
      </c>
      <c r="Q17" s="84">
        <v>16</v>
      </c>
      <c r="R17" s="15" t="s">
        <v>622</v>
      </c>
    </row>
    <row r="18" spans="3:18" x14ac:dyDescent="0.3">
      <c r="C18" s="14" t="s">
        <v>631</v>
      </c>
      <c r="D18" s="15" t="s">
        <v>184</v>
      </c>
      <c r="E18" s="25">
        <v>15</v>
      </c>
      <c r="F18" s="25">
        <v>15</v>
      </c>
      <c r="G18" s="25">
        <v>15</v>
      </c>
      <c r="H18" s="25">
        <v>17</v>
      </c>
      <c r="J18" s="102" t="s">
        <v>632</v>
      </c>
      <c r="N18" s="20" t="s">
        <v>627</v>
      </c>
      <c r="O18" s="84" t="s">
        <v>625</v>
      </c>
      <c r="P18" s="84">
        <v>16</v>
      </c>
      <c r="Q18" s="84">
        <v>20</v>
      </c>
      <c r="R18" s="15" t="s">
        <v>622</v>
      </c>
    </row>
    <row r="19" spans="3:18" ht="17.25" thickBot="1" x14ac:dyDescent="0.35">
      <c r="C19" s="36" t="s">
        <v>629</v>
      </c>
      <c r="D19" s="46" t="s">
        <v>633</v>
      </c>
      <c r="E19" s="42">
        <f>(2*PI()*E13*(E17-E18))/LN(E15/E14)</f>
        <v>24.812718258444058</v>
      </c>
      <c r="F19" s="42">
        <f t="shared" ref="F19:H19" si="2">(2*PI()*F13*(F17-F18))/LN(F15/F14)</f>
        <v>19.298780867678712</v>
      </c>
      <c r="G19" s="42">
        <f>(2*PI()*G13*(G17-G18))/LN(G15/G14)</f>
        <v>24.812718258444058</v>
      </c>
      <c r="H19" s="42">
        <f t="shared" si="2"/>
        <v>20.952962084908318</v>
      </c>
      <c r="J19" s="84" t="s">
        <v>634</v>
      </c>
      <c r="K19" s="103">
        <v>20</v>
      </c>
      <c r="L19" s="15" t="s">
        <v>622</v>
      </c>
      <c r="N19" s="20" t="s">
        <v>627</v>
      </c>
      <c r="O19" s="84" t="s">
        <v>628</v>
      </c>
      <c r="P19" s="84">
        <v>20</v>
      </c>
      <c r="Q19" s="96">
        <v>24</v>
      </c>
      <c r="R19" s="15" t="s">
        <v>622</v>
      </c>
    </row>
    <row r="20" spans="3:18" ht="17.25" thickTop="1" x14ac:dyDescent="0.3">
      <c r="C20" s="27" t="s">
        <v>635</v>
      </c>
      <c r="J20" s="84" t="s">
        <v>636</v>
      </c>
      <c r="K20" s="103">
        <v>30</v>
      </c>
      <c r="L20" s="15" t="s">
        <v>622</v>
      </c>
    </row>
    <row r="21" spans="3:18" ht="29.25" x14ac:dyDescent="0.3">
      <c r="C21" s="20" t="s">
        <v>637</v>
      </c>
      <c r="D21" s="15" t="s">
        <v>619</v>
      </c>
      <c r="E21" s="110">
        <v>3.5000000000000003E-2</v>
      </c>
      <c r="F21" s="109">
        <f>E21</f>
        <v>3.5000000000000003E-2</v>
      </c>
      <c r="G21" s="110">
        <v>3.5000000000000003E-2</v>
      </c>
      <c r="H21" s="109">
        <f>G21</f>
        <v>3.5000000000000003E-2</v>
      </c>
      <c r="J21" s="84" t="s">
        <v>638</v>
      </c>
      <c r="K21" s="107" t="s">
        <v>639</v>
      </c>
      <c r="L21" s="15" t="s">
        <v>622</v>
      </c>
      <c r="N21" s="102" t="s">
        <v>640</v>
      </c>
    </row>
    <row r="22" spans="3:18" x14ac:dyDescent="0.3">
      <c r="C22" s="20" t="s">
        <v>641</v>
      </c>
      <c r="D22" s="46" t="s">
        <v>622</v>
      </c>
      <c r="E22" s="25">
        <v>30</v>
      </c>
      <c r="F22" s="42">
        <f>E22</f>
        <v>30</v>
      </c>
      <c r="G22" s="25">
        <v>30</v>
      </c>
      <c r="H22" s="42">
        <f>G22</f>
        <v>30</v>
      </c>
      <c r="J22" s="84" t="s">
        <v>642</v>
      </c>
      <c r="K22" s="103">
        <v>100</v>
      </c>
      <c r="L22" s="15" t="s">
        <v>622</v>
      </c>
      <c r="N22" s="20" t="s">
        <v>643</v>
      </c>
      <c r="O22" s="20"/>
      <c r="P22" s="89" t="s">
        <v>644</v>
      </c>
    </row>
    <row r="23" spans="3:18" ht="17.25" thickBot="1" x14ac:dyDescent="0.35">
      <c r="C23" s="36" t="s">
        <v>635</v>
      </c>
      <c r="D23" s="46" t="s">
        <v>633</v>
      </c>
      <c r="E23" s="42">
        <f>(2*PI()*E21*(E17-E18))/LN((E15/2+E22)/(E14/2))</f>
        <v>6.8957728164567484</v>
      </c>
      <c r="F23" s="42">
        <f>(2*PI()*F21*(F17-F18))/LN((F15/2+F22)/(F14/2))</f>
        <v>5.3633788572441379</v>
      </c>
      <c r="G23" s="42">
        <f t="shared" ref="G23:H23" si="3">(2*PI()*G21*(G17-G18))/LN((G15/2+G22)/(G14/2))</f>
        <v>6.8957728164567484</v>
      </c>
      <c r="H23" s="42">
        <f t="shared" si="3"/>
        <v>5.8230970450079207</v>
      </c>
      <c r="N23" s="20" t="s">
        <v>645</v>
      </c>
      <c r="O23" s="20"/>
      <c r="P23" s="89" t="s">
        <v>646</v>
      </c>
    </row>
    <row r="24" spans="3:18" ht="17.25" thickTop="1" x14ac:dyDescent="0.3">
      <c r="C24" s="27" t="s">
        <v>647</v>
      </c>
      <c r="N24" s="20" t="s">
        <v>648</v>
      </c>
      <c r="O24" s="20"/>
      <c r="P24" s="89" t="s">
        <v>644</v>
      </c>
    </row>
    <row r="25" spans="3:18" x14ac:dyDescent="0.3">
      <c r="C25" s="14" t="s">
        <v>649</v>
      </c>
      <c r="D25" s="46" t="s">
        <v>575</v>
      </c>
      <c r="E25" s="25">
        <v>8760</v>
      </c>
      <c r="F25" s="108">
        <f>E25</f>
        <v>8760</v>
      </c>
      <c r="G25" s="108">
        <f>F25</f>
        <v>8760</v>
      </c>
      <c r="H25" s="108">
        <f>G25</f>
        <v>8760</v>
      </c>
      <c r="N25" s="20" t="s">
        <v>650</v>
      </c>
      <c r="O25" s="20"/>
      <c r="P25" s="89" t="s">
        <v>651</v>
      </c>
    </row>
    <row r="26" spans="3:18" x14ac:dyDescent="0.3">
      <c r="C26" s="14" t="s">
        <v>652</v>
      </c>
      <c r="D26" s="46" t="s">
        <v>191</v>
      </c>
      <c r="E26" s="113">
        <f>(E19-E23)*E11*E25/10^3</f>
        <v>1255.6195365744707</v>
      </c>
      <c r="F26" s="113">
        <f>(F19-F23)*F11*F25/10^3</f>
        <v>244.14824322281373</v>
      </c>
      <c r="G26" s="113">
        <f t="shared" ref="G26:H26" si="4">(G19-G23)*G11*G25/10^3</f>
        <v>1098.6670945026619</v>
      </c>
      <c r="H26" s="113">
        <f t="shared" si="4"/>
        <v>265.07523549905494</v>
      </c>
      <c r="N26" s="20" t="s">
        <v>653</v>
      </c>
      <c r="O26" s="20"/>
      <c r="P26" s="89" t="s">
        <v>654</v>
      </c>
    </row>
    <row r="27" spans="3:18" x14ac:dyDescent="0.3">
      <c r="C27" s="14" t="s">
        <v>655</v>
      </c>
      <c r="D27" s="46" t="s">
        <v>188</v>
      </c>
      <c r="E27" s="37">
        <v>0.6</v>
      </c>
      <c r="F27" s="114">
        <f>E27</f>
        <v>0.6</v>
      </c>
      <c r="G27" s="114">
        <f t="shared" ref="G27:H27" si="5">F27</f>
        <v>0.6</v>
      </c>
      <c r="H27" s="114">
        <f t="shared" si="5"/>
        <v>0.6</v>
      </c>
      <c r="K27" s="103" t="s">
        <v>656</v>
      </c>
      <c r="L27" s="15" t="s">
        <v>188</v>
      </c>
      <c r="N27" s="20"/>
      <c r="O27" s="20"/>
      <c r="P27" s="20"/>
    </row>
    <row r="28" spans="3:18" x14ac:dyDescent="0.3">
      <c r="C28" s="14" t="s">
        <v>476</v>
      </c>
      <c r="D28" s="46" t="s">
        <v>191</v>
      </c>
      <c r="E28" s="42">
        <f>MIN('Model homes'!E86*'Model homes'!$E$90*E27,E26)</f>
        <v>723.7469951999999</v>
      </c>
      <c r="F28" s="42">
        <f>MIN('Model homes'!F86*'Model homes'!$E$90*F27,F26)</f>
        <v>244.14824322281373</v>
      </c>
      <c r="G28" s="42">
        <f>MIN('Model homes'!G86*'Model homes'!$E$90*G27,G26)</f>
        <v>542.81024639999998</v>
      </c>
      <c r="H28" s="42">
        <f>MIN('Model homes'!H86*'Model homes'!$E$90*H27,H26)</f>
        <v>265.07523549905494</v>
      </c>
    </row>
    <row r="29" spans="3:18" ht="17.25" thickBot="1" x14ac:dyDescent="0.35"/>
    <row r="30" spans="3:18" ht="17.25" thickTop="1" x14ac:dyDescent="0.3">
      <c r="C30" s="27" t="s">
        <v>713</v>
      </c>
      <c r="D30" s="22"/>
      <c r="E30" s="23"/>
      <c r="F30" s="24"/>
    </row>
    <row r="31" spans="3:18" x14ac:dyDescent="0.3">
      <c r="C31" s="20" t="s">
        <v>14</v>
      </c>
      <c r="D31" s="15" t="s">
        <v>191</v>
      </c>
      <c r="E31" s="42">
        <f>E$28/(1-'Model homes'!E$34)/'Model homes'!E38</f>
        <v>829.03435876288643</v>
      </c>
      <c r="F31" s="42">
        <f>F$28/(1-'Model homes'!F$34)/'Model homes'!F38</f>
        <v>266.45011810849473</v>
      </c>
      <c r="G31" s="42">
        <f>G$28/(1-'Model homes'!G$34)/'Model homes'!G38</f>
        <v>643.21631283327406</v>
      </c>
      <c r="H31" s="42">
        <f>H$28/(1-'Model homes'!H$34)/'Model homes'!H38</f>
        <v>281.75513977365534</v>
      </c>
    </row>
    <row r="32" spans="3:18" x14ac:dyDescent="0.3">
      <c r="C32" s="14" t="s">
        <v>15</v>
      </c>
      <c r="D32" s="15" t="s">
        <v>191</v>
      </c>
      <c r="E32" s="42">
        <f>E$28/(1-'Model homes'!E$34)/'Model homes'!E39</f>
        <v>1237.1743507692306</v>
      </c>
      <c r="F32" s="42">
        <f>F$28/(1-'Model homes'!F$34)/'Model homes'!F39</f>
        <v>373.03016535189266</v>
      </c>
      <c r="G32" s="42">
        <f>G$28/(1-'Model homes'!G$34)/'Model homes'!G39</f>
        <v>931.22361708697872</v>
      </c>
      <c r="H32" s="42">
        <f>H$28/(1-'Model homes'!H$34)/'Model homes'!H39</f>
        <v>394.45719568311745</v>
      </c>
    </row>
    <row r="33" spans="3:15" x14ac:dyDescent="0.3">
      <c r="C33" s="15" t="s">
        <v>16</v>
      </c>
      <c r="D33" s="15" t="s">
        <v>191</v>
      </c>
      <c r="E33" s="42">
        <f>E$28/(1-'Model homes'!E$34)/'Model homes'!E40</f>
        <v>1005.2041599999998</v>
      </c>
      <c r="F33" s="42">
        <f>F$28/(1-'Model homes'!F$34)/'Model homes'!F40</f>
        <v>310.85847112657723</v>
      </c>
      <c r="G33" s="42">
        <f>G$28/(1-'Model homes'!G$34)/'Model homes'!G40</f>
        <v>760.87783347350705</v>
      </c>
      <c r="H33" s="42">
        <f>H$28/(1-'Model homes'!H$34)/'Model homes'!H40</f>
        <v>328.71432973593124</v>
      </c>
    </row>
    <row r="34" spans="3:15" x14ac:dyDescent="0.3">
      <c r="C34" s="15" t="s">
        <v>17</v>
      </c>
      <c r="D34" s="15" t="s">
        <v>191</v>
      </c>
      <c r="E34" s="42">
        <f>E$28/(1-'Model homes'!E$34)/'Model homes'!E41</f>
        <v>1237.1743507692306</v>
      </c>
      <c r="F34" s="42">
        <f>F$28/(1-'Model homes'!F$34)/'Model homes'!F41</f>
        <v>373.03016535189266</v>
      </c>
      <c r="G34" s="42">
        <f>G$28/(1-'Model homes'!G$34)/'Model homes'!G41</f>
        <v>959.87665145888582</v>
      </c>
      <c r="H34" s="42">
        <f>H$28/(1-'Model homes'!H$34)/'Model homes'!H41</f>
        <v>394.45719568311745</v>
      </c>
      <c r="J34" s="26"/>
    </row>
    <row r="35" spans="3:15" x14ac:dyDescent="0.3">
      <c r="C35" s="15" t="s">
        <v>18</v>
      </c>
      <c r="D35" s="15" t="s">
        <v>191</v>
      </c>
      <c r="E35" s="42">
        <f>E$28/(1-'Model homes'!E$34)/'Model homes'!E42</f>
        <v>1005.2041599999998</v>
      </c>
      <c r="F35" s="42">
        <f>F$28/(1-'Model homes'!F$34)/'Model homes'!F42</f>
        <v>307.2013126427351</v>
      </c>
      <c r="G35" s="42">
        <f>G$28/(1-'Model homes'!G$34)/'Model homes'!G42</f>
        <v>779.89977931034468</v>
      </c>
      <c r="H35" s="42">
        <f>H$28/(1-'Model homes'!H$34)/'Model homes'!H42</f>
        <v>324.84710232727321</v>
      </c>
      <c r="J35" s="26"/>
    </row>
    <row r="36" spans="3:15" x14ac:dyDescent="0.3">
      <c r="C36" s="15" t="s">
        <v>19</v>
      </c>
      <c r="D36" s="15" t="s">
        <v>191</v>
      </c>
      <c r="E36" s="42">
        <f>E$28/(1-'Model homes'!E$34)/'Model homes'!E43</f>
        <v>1005.2041599999998</v>
      </c>
      <c r="F36" s="42">
        <f>F$28/(1-'Model homes'!F$34)/'Model homes'!F43</f>
        <v>303.62920435619168</v>
      </c>
      <c r="G36" s="42">
        <f>G$28/(1-'Model homes'!G$34)/'Model homes'!G43</f>
        <v>779.89977931034468</v>
      </c>
      <c r="H36" s="42">
        <f>H$28/(1-'Model homes'!H$34)/'Model homes'!H43</f>
        <v>321.06981043974679</v>
      </c>
      <c r="J36" s="26"/>
    </row>
    <row r="37" spans="3:15" ht="15.95" customHeight="1" x14ac:dyDescent="0.3">
      <c r="C37" s="14" t="s">
        <v>20</v>
      </c>
      <c r="D37" s="15" t="s">
        <v>191</v>
      </c>
      <c r="E37" s="42">
        <f>E$28/(1-'Model homes'!E$34)/'Model homes'!E44</f>
        <v>946.07450352941169</v>
      </c>
      <c r="F37" s="42">
        <f>F$28/(1-'Model homes'!F$34)/'Model homes'!F44</f>
        <v>300.13921350152282</v>
      </c>
      <c r="G37" s="42">
        <f>G$28/(1-'Model homes'!G$34)/'Model homes'!G44</f>
        <v>717.14922235433994</v>
      </c>
      <c r="H37" s="42">
        <f>H$28/(1-'Model homes'!H$34)/'Model homes'!H44</f>
        <v>317.37935284848533</v>
      </c>
      <c r="J37" s="26"/>
    </row>
    <row r="38" spans="3:15" ht="15.95" customHeight="1" x14ac:dyDescent="0.3">
      <c r="C38" s="14" t="s">
        <v>21</v>
      </c>
      <c r="D38" s="15" t="s">
        <v>191</v>
      </c>
      <c r="E38" s="42"/>
      <c r="F38" s="42"/>
      <c r="G38" s="42"/>
      <c r="H38" s="42"/>
      <c r="J38" s="17" t="s">
        <v>478</v>
      </c>
      <c r="K38" s="17" t="s">
        <v>479</v>
      </c>
    </row>
    <row r="39" spans="3:15" ht="17.25" thickBot="1" x14ac:dyDescent="0.35">
      <c r="C39" s="14" t="s">
        <v>22</v>
      </c>
      <c r="D39" s="33" t="s">
        <v>191</v>
      </c>
      <c r="E39" s="42">
        <f>E$28/(1-'Model homes'!E$34)/'Model homes'!E46</f>
        <v>277.50392993604044</v>
      </c>
      <c r="F39" s="42">
        <f>F$28/(1-'Model homes'!F$34)/'Model homes'!F46</f>
        <v>80.061663573915339</v>
      </c>
      <c r="G39" s="42">
        <f>G$28/(1-'Model homes'!G$34)/'Model homes'!G46</f>
        <v>191.29842816136005</v>
      </c>
      <c r="H39" s="42">
        <f>H$28/(1-'Model homes'!H$34)/'Model homes'!H46</f>
        <v>78.661204846027644</v>
      </c>
      <c r="J39" s="202">
        <f>AVERAGE(E31:H39)</f>
        <v>564.42991384707534</v>
      </c>
      <c r="K39" s="45" t="e">
        <f>AVERAGEIFS($E$31:$H$39,$J$102:$M$110,"yes")</f>
        <v>#DIV/0!</v>
      </c>
    </row>
    <row r="40" spans="3:15" ht="18" thickTop="1" thickBot="1" x14ac:dyDescent="0.35">
      <c r="C40" s="84"/>
      <c r="D40" s="84"/>
      <c r="M40" s="20"/>
      <c r="N40" s="20"/>
      <c r="O40" s="20"/>
    </row>
    <row r="41" spans="3:15" ht="17.25" thickTop="1" x14ac:dyDescent="0.3">
      <c r="C41" s="95" t="s">
        <v>714</v>
      </c>
      <c r="D41" s="22"/>
      <c r="E41" s="23"/>
      <c r="F41" s="24"/>
    </row>
    <row r="42" spans="3:15" x14ac:dyDescent="0.3">
      <c r="C42" s="20" t="s">
        <v>14</v>
      </c>
      <c r="D42" s="15" t="s">
        <v>301</v>
      </c>
      <c r="E42" s="104">
        <f>E31/('Model homes'!E48*'Model homes'!$E$21)</f>
        <v>3.5652561339901474E-2</v>
      </c>
      <c r="F42" s="104">
        <f>F31/('Model homes'!F48*'Model homes'!$E$21)</f>
        <v>3.1707564054910875E-2</v>
      </c>
      <c r="G42" s="104">
        <f>G31/('Model homes'!G48*'Model homes'!G$21)</f>
        <v>7.6183894231578947E-3</v>
      </c>
      <c r="H42" s="104">
        <f>H31/('Model homes'!H48*'Model homes'!H$21)</f>
        <v>7.8540810518238514E-3</v>
      </c>
      <c r="J42" s="26"/>
    </row>
    <row r="43" spans="3:15" x14ac:dyDescent="0.3">
      <c r="C43" s="14" t="s">
        <v>15</v>
      </c>
      <c r="D43" s="15" t="s">
        <v>301</v>
      </c>
      <c r="E43" s="104">
        <f>E32/('Model homes'!E49*'Model homes'!$E$21)</f>
        <v>3.5652561339901481E-2</v>
      </c>
      <c r="F43" s="104">
        <f>F32/('Model homes'!F49*'Model homes'!$E$21)</f>
        <v>3.1707564054910875E-2</v>
      </c>
      <c r="G43" s="104">
        <f>G32/('Model homes'!G49*'Model homes'!G$21)</f>
        <v>7.6183894231578939E-3</v>
      </c>
      <c r="H43" s="104">
        <f>H32/('Model homes'!H49*'Model homes'!H$21)</f>
        <v>7.8540810518238496E-3</v>
      </c>
      <c r="J43" s="26"/>
    </row>
    <row r="44" spans="3:15" x14ac:dyDescent="0.3">
      <c r="C44" s="15" t="s">
        <v>16</v>
      </c>
      <c r="D44" s="15" t="s">
        <v>301</v>
      </c>
      <c r="E44" s="104">
        <f>E33/('Model homes'!E50*'Model homes'!$E$21)</f>
        <v>3.5652561339901474E-2</v>
      </c>
      <c r="F44" s="104">
        <f>F33/('Model homes'!F50*'Model homes'!$E$21)</f>
        <v>3.1707564054910882E-2</v>
      </c>
      <c r="G44" s="104">
        <f>G33/('Model homes'!G50*'Model homes'!G$21)</f>
        <v>7.618389423157893E-3</v>
      </c>
      <c r="H44" s="104">
        <f>H33/('Model homes'!H50*'Model homes'!H$21)</f>
        <v>7.8540810518238514E-3</v>
      </c>
      <c r="J44" s="26"/>
    </row>
    <row r="45" spans="3:15" x14ac:dyDescent="0.3">
      <c r="C45" s="15" t="s">
        <v>17</v>
      </c>
      <c r="D45" s="15" t="s">
        <v>301</v>
      </c>
      <c r="E45" s="104">
        <f>E34/('Model homes'!E51*'Model homes'!$E$21)</f>
        <v>3.5652561339901481E-2</v>
      </c>
      <c r="F45" s="104">
        <f>F34/('Model homes'!F51*'Model homes'!$E$21)</f>
        <v>3.1707564054910875E-2</v>
      </c>
      <c r="G45" s="104">
        <f>G34/('Model homes'!G51*'Model homes'!G$21)</f>
        <v>7.6183894231578939E-3</v>
      </c>
      <c r="H45" s="104">
        <f>H34/('Model homes'!H51*'Model homes'!H$21)</f>
        <v>7.8540810518238496E-3</v>
      </c>
      <c r="J45" s="26"/>
    </row>
    <row r="46" spans="3:15" x14ac:dyDescent="0.3">
      <c r="C46" s="15" t="s">
        <v>18</v>
      </c>
      <c r="D46" s="15" t="s">
        <v>301</v>
      </c>
      <c r="E46" s="104">
        <f>E35/('Model homes'!E52*'Model homes'!$E$21)</f>
        <v>3.5652561339901474E-2</v>
      </c>
      <c r="F46" s="104">
        <f>F35/('Model homes'!F52*'Model homes'!$E$21)</f>
        <v>3.1707564054910875E-2</v>
      </c>
      <c r="G46" s="104">
        <f>G35/('Model homes'!G52*'Model homes'!G$21)</f>
        <v>7.6183894231578939E-3</v>
      </c>
      <c r="H46" s="104">
        <f>H35/('Model homes'!H52*'Model homes'!H$21)</f>
        <v>7.8540810518238496E-3</v>
      </c>
      <c r="J46" s="26"/>
    </row>
    <row r="47" spans="3:15" x14ac:dyDescent="0.3">
      <c r="C47" s="15" t="s">
        <v>19</v>
      </c>
      <c r="D47" s="15" t="s">
        <v>301</v>
      </c>
      <c r="E47" s="104">
        <f>E36/('Model homes'!E53*'Model homes'!$E$21)</f>
        <v>3.5652561339901474E-2</v>
      </c>
      <c r="F47" s="104">
        <f>F36/('Model homes'!F53*'Model homes'!$E$21)</f>
        <v>3.1707564054910875E-2</v>
      </c>
      <c r="G47" s="104">
        <f>G36/('Model homes'!G53*'Model homes'!G$21)</f>
        <v>7.6183894231578939E-3</v>
      </c>
      <c r="H47" s="104">
        <f>H36/('Model homes'!H53*'Model homes'!H$21)</f>
        <v>7.8540810518238514E-3</v>
      </c>
      <c r="J47" s="26"/>
    </row>
    <row r="48" spans="3:15" ht="15.95" customHeight="1" x14ac:dyDescent="0.3">
      <c r="C48" s="14" t="s">
        <v>20</v>
      </c>
      <c r="D48" s="15" t="s">
        <v>301</v>
      </c>
      <c r="E48" s="104">
        <f>E37/('Model homes'!E54*'Model homes'!$E$21)</f>
        <v>3.5652561339901474E-2</v>
      </c>
      <c r="F48" s="104">
        <f>F37/('Model homes'!F54*'Model homes'!$E$21)</f>
        <v>3.1707564054910875E-2</v>
      </c>
      <c r="G48" s="104">
        <f>G37/('Model homes'!G54*'Model homes'!G$21)</f>
        <v>7.6183894231578921E-3</v>
      </c>
      <c r="H48" s="104">
        <f>H37/('Model homes'!H54*'Model homes'!H$21)</f>
        <v>7.8540810518238496E-3</v>
      </c>
      <c r="J48" s="26"/>
    </row>
    <row r="49" spans="2:15" ht="15.95" customHeight="1" x14ac:dyDescent="0.3">
      <c r="C49" s="14" t="s">
        <v>21</v>
      </c>
      <c r="D49" s="15" t="s">
        <v>301</v>
      </c>
      <c r="E49" s="104"/>
      <c r="F49" s="104"/>
      <c r="G49" s="104"/>
      <c r="H49" s="104"/>
      <c r="J49" s="26"/>
    </row>
    <row r="50" spans="2:15" x14ac:dyDescent="0.3">
      <c r="C50" s="14" t="s">
        <v>22</v>
      </c>
      <c r="D50" s="15" t="s">
        <v>301</v>
      </c>
      <c r="E50" s="104">
        <f>E39/('Model homes'!E56*'Model homes'!$E$21)</f>
        <v>3.5652561339901474E-2</v>
      </c>
      <c r="F50" s="104">
        <f>F39/('Model homes'!F56*'Model homes'!$E$21)</f>
        <v>3.1707564054910882E-2</v>
      </c>
      <c r="G50" s="104">
        <f>G39/('Model homes'!G56*'Model homes'!G$21)</f>
        <v>7.6183894231578939E-3</v>
      </c>
      <c r="H50" s="104">
        <f>H39/('Model homes'!H56*'Model homes'!H$21)</f>
        <v>7.8540810518238496E-3</v>
      </c>
      <c r="J50" s="26" t="s">
        <v>39</v>
      </c>
    </row>
    <row r="51" spans="2:15" x14ac:dyDescent="0.3">
      <c r="C51" s="84"/>
      <c r="D51" s="84"/>
    </row>
    <row r="52" spans="2:15" ht="20.25" x14ac:dyDescent="0.35">
      <c r="C52" s="81" t="s">
        <v>578</v>
      </c>
    </row>
    <row r="53" spans="2:15" s="18" customFormat="1" ht="17.25" thickBot="1" x14ac:dyDescent="0.35">
      <c r="B53" s="19" t="s">
        <v>153</v>
      </c>
      <c r="C53" s="19" t="s">
        <v>154</v>
      </c>
      <c r="D53" s="19" t="s">
        <v>32</v>
      </c>
      <c r="E53" s="19" t="s">
        <v>155</v>
      </c>
      <c r="F53" s="19"/>
      <c r="G53" s="19" t="s">
        <v>155</v>
      </c>
      <c r="H53" s="19"/>
      <c r="I53" s="19"/>
      <c r="J53" s="56" t="s">
        <v>156</v>
      </c>
      <c r="K53" s="56"/>
    </row>
    <row r="54" spans="2:15" s="30" customFormat="1" ht="18" thickTop="1" thickBot="1" x14ac:dyDescent="0.35">
      <c r="B54" s="28"/>
      <c r="C54" s="29" t="s">
        <v>157</v>
      </c>
      <c r="D54" s="29"/>
      <c r="E54" s="335" t="s">
        <v>5</v>
      </c>
      <c r="F54" s="335"/>
      <c r="G54" s="335" t="s">
        <v>6</v>
      </c>
      <c r="H54" s="335"/>
      <c r="I54" s="28"/>
      <c r="J54" s="28"/>
      <c r="K54" s="57"/>
      <c r="M54" s="20"/>
    </row>
    <row r="55" spans="2:15" ht="18" thickTop="1" thickBot="1" x14ac:dyDescent="0.35">
      <c r="B55" s="19"/>
      <c r="C55" s="29" t="s">
        <v>158</v>
      </c>
      <c r="D55" s="29"/>
      <c r="E55" s="29" t="s">
        <v>7</v>
      </c>
      <c r="F55" s="29" t="s">
        <v>8</v>
      </c>
      <c r="G55" s="29" t="s">
        <v>7</v>
      </c>
      <c r="H55" s="29" t="s">
        <v>8</v>
      </c>
      <c r="I55" s="19"/>
      <c r="J55" s="19" t="s">
        <v>482</v>
      </c>
      <c r="K55" s="56" t="s">
        <v>483</v>
      </c>
      <c r="M55" s="82"/>
      <c r="N55" s="82"/>
    </row>
    <row r="56" spans="2:15" customFormat="1" ht="17.25" thickTop="1" x14ac:dyDescent="0.3">
      <c r="C56" s="20" t="s">
        <v>608</v>
      </c>
      <c r="D56" s="15" t="s">
        <v>168</v>
      </c>
      <c r="E56" s="97">
        <f>E9</f>
        <v>6</v>
      </c>
      <c r="F56" s="97">
        <f t="shared" ref="F56:H56" si="6">F9</f>
        <v>1</v>
      </c>
      <c r="G56" s="97">
        <f t="shared" si="6"/>
        <v>5</v>
      </c>
      <c r="H56" s="97">
        <f t="shared" si="6"/>
        <v>1</v>
      </c>
      <c r="O56" s="17"/>
    </row>
    <row r="57" spans="2:15" customFormat="1" x14ac:dyDescent="0.3">
      <c r="C57" s="15" t="s">
        <v>484</v>
      </c>
      <c r="D57" s="15" t="s">
        <v>485</v>
      </c>
      <c r="E57" s="38">
        <v>2</v>
      </c>
      <c r="F57" s="97">
        <f>E57</f>
        <v>2</v>
      </c>
      <c r="G57" s="38"/>
      <c r="H57" s="97">
        <f>G57</f>
        <v>0</v>
      </c>
      <c r="J57" s="83" t="s">
        <v>657</v>
      </c>
      <c r="K57" s="15" t="s">
        <v>485</v>
      </c>
      <c r="O57" s="17"/>
    </row>
    <row r="58" spans="2:15" customFormat="1" x14ac:dyDescent="0.3">
      <c r="C58" s="15" t="s">
        <v>487</v>
      </c>
      <c r="D58" s="15" t="s">
        <v>485</v>
      </c>
      <c r="E58" s="38">
        <v>2</v>
      </c>
      <c r="F58" s="97">
        <f>E58</f>
        <v>2</v>
      </c>
      <c r="G58" s="38">
        <v>1</v>
      </c>
      <c r="H58" s="97">
        <f>G58</f>
        <v>1</v>
      </c>
      <c r="J58" s="83" t="s">
        <v>657</v>
      </c>
      <c r="K58" s="15" t="s">
        <v>485</v>
      </c>
      <c r="O58" s="17"/>
    </row>
    <row r="59" spans="2:15" customFormat="1" x14ac:dyDescent="0.3">
      <c r="C59" s="15" t="s">
        <v>488</v>
      </c>
      <c r="D59" s="15" t="s">
        <v>485</v>
      </c>
      <c r="E59" s="97">
        <f>SUM(E57:E58)</f>
        <v>4</v>
      </c>
      <c r="F59" s="97">
        <f t="shared" ref="F59:H59" si="7">SUM(F57:F58)</f>
        <v>4</v>
      </c>
      <c r="G59" s="97">
        <f t="shared" si="7"/>
        <v>1</v>
      </c>
      <c r="H59" s="97">
        <f t="shared" si="7"/>
        <v>1</v>
      </c>
      <c r="O59" s="17"/>
    </row>
    <row r="60" spans="2:15" customFormat="1" x14ac:dyDescent="0.3">
      <c r="C60" s="15" t="s">
        <v>489</v>
      </c>
      <c r="D60" s="15" t="s">
        <v>485</v>
      </c>
      <c r="E60" s="38">
        <v>2</v>
      </c>
      <c r="F60" s="38">
        <v>1.5</v>
      </c>
      <c r="G60" s="38">
        <v>2</v>
      </c>
      <c r="H60" s="38">
        <v>2</v>
      </c>
      <c r="I60" s="17"/>
      <c r="J60" s="83" t="s">
        <v>658</v>
      </c>
      <c r="K60" s="15" t="s">
        <v>485</v>
      </c>
      <c r="M60" s="26" t="s">
        <v>659</v>
      </c>
      <c r="O60" s="17"/>
    </row>
    <row r="61" spans="2:15" customFormat="1" x14ac:dyDescent="0.3">
      <c r="C61" s="105" t="s">
        <v>491</v>
      </c>
      <c r="D61" s="15" t="s">
        <v>485</v>
      </c>
      <c r="E61" s="97">
        <f>E59+E60</f>
        <v>6</v>
      </c>
      <c r="F61" s="97">
        <f t="shared" ref="F61:H61" si="8">F59+F60</f>
        <v>5.5</v>
      </c>
      <c r="G61" s="97">
        <f t="shared" si="8"/>
        <v>3</v>
      </c>
      <c r="H61" s="97">
        <f t="shared" si="8"/>
        <v>3</v>
      </c>
      <c r="I61" s="17"/>
      <c r="K61" s="15"/>
      <c r="O61" s="17"/>
    </row>
    <row r="62" spans="2:15" customFormat="1" x14ac:dyDescent="0.3">
      <c r="C62" s="15" t="s">
        <v>492</v>
      </c>
      <c r="D62" s="15" t="s">
        <v>493</v>
      </c>
      <c r="E62" s="25">
        <v>15</v>
      </c>
      <c r="F62" s="42">
        <f>E62</f>
        <v>15</v>
      </c>
      <c r="G62" s="25">
        <v>75</v>
      </c>
      <c r="H62" s="42">
        <f t="shared" ref="H62:H64" si="9">G62</f>
        <v>75</v>
      </c>
      <c r="I62" s="17"/>
      <c r="J62" s="83" t="s">
        <v>494</v>
      </c>
      <c r="K62" s="83" t="s">
        <v>660</v>
      </c>
      <c r="L62" s="15" t="s">
        <v>493</v>
      </c>
      <c r="M62" s="26" t="s">
        <v>495</v>
      </c>
      <c r="N62" s="17"/>
      <c r="O62" s="17"/>
    </row>
    <row r="63" spans="2:15" customFormat="1" x14ac:dyDescent="0.3">
      <c r="C63" s="105" t="s">
        <v>496</v>
      </c>
      <c r="D63" s="15" t="s">
        <v>69</v>
      </c>
      <c r="E63" s="42">
        <f>E61*E62</f>
        <v>90</v>
      </c>
      <c r="F63" s="42">
        <f t="shared" ref="F63:H63" si="10">F61*F62</f>
        <v>82.5</v>
      </c>
      <c r="G63" s="42">
        <f t="shared" si="10"/>
        <v>225</v>
      </c>
      <c r="H63" s="42">
        <f t="shared" si="10"/>
        <v>225</v>
      </c>
      <c r="I63" s="17"/>
      <c r="K63" s="15"/>
      <c r="O63" s="17"/>
    </row>
    <row r="64" spans="2:15" customFormat="1" x14ac:dyDescent="0.3">
      <c r="C64" s="15" t="s">
        <v>661</v>
      </c>
      <c r="D64" s="15" t="s">
        <v>662</v>
      </c>
      <c r="E64" s="25">
        <v>10</v>
      </c>
      <c r="F64" s="42">
        <f>E64</f>
        <v>10</v>
      </c>
      <c r="G64" s="25">
        <v>12</v>
      </c>
      <c r="H64" s="42">
        <f t="shared" si="9"/>
        <v>12</v>
      </c>
      <c r="I64" s="17"/>
      <c r="J64" s="83" t="s">
        <v>663</v>
      </c>
      <c r="K64" s="15" t="s">
        <v>662</v>
      </c>
      <c r="O64" s="17"/>
    </row>
    <row r="65" spans="3:13" customFormat="1" ht="15" x14ac:dyDescent="0.25">
      <c r="C65" s="105" t="s">
        <v>501</v>
      </c>
      <c r="D65" s="15" t="s">
        <v>502</v>
      </c>
      <c r="E65" s="42">
        <f>E64*E56</f>
        <v>60</v>
      </c>
      <c r="F65" s="42">
        <f t="shared" ref="F65:H65" si="11">F64*F56</f>
        <v>10</v>
      </c>
      <c r="G65" s="42">
        <f t="shared" si="11"/>
        <v>60</v>
      </c>
      <c r="H65" s="42">
        <f t="shared" si="11"/>
        <v>12</v>
      </c>
      <c r="I65" s="42"/>
    </row>
    <row r="66" spans="3:13" x14ac:dyDescent="0.3">
      <c r="C66" s="84" t="s">
        <v>503</v>
      </c>
      <c r="D66" s="84" t="s">
        <v>69</v>
      </c>
      <c r="E66" s="91">
        <f>E63+E65</f>
        <v>150</v>
      </c>
      <c r="F66" s="91">
        <f>F63+F65</f>
        <v>92.5</v>
      </c>
      <c r="G66" s="91">
        <f>G63+G65</f>
        <v>285</v>
      </c>
      <c r="H66" s="91">
        <f>H63+H65</f>
        <v>237</v>
      </c>
    </row>
    <row r="67" spans="3:13" x14ac:dyDescent="0.3">
      <c r="C67" s="84"/>
      <c r="D67" s="84"/>
      <c r="E67" s="91"/>
      <c r="F67" s="91"/>
      <c r="G67" s="91"/>
      <c r="H67" s="91"/>
    </row>
    <row r="68" spans="3:13" x14ac:dyDescent="0.3">
      <c r="C68" s="84" t="s">
        <v>504</v>
      </c>
      <c r="D68" s="84" t="s">
        <v>664</v>
      </c>
      <c r="E68" s="25">
        <v>0</v>
      </c>
      <c r="F68" s="91">
        <f>E68</f>
        <v>0</v>
      </c>
      <c r="G68" s="25">
        <v>0</v>
      </c>
      <c r="H68" s="91">
        <f t="shared" ref="H68" si="12">G68</f>
        <v>0</v>
      </c>
      <c r="J68" s="83">
        <v>0</v>
      </c>
      <c r="K68" s="84" t="s">
        <v>505</v>
      </c>
      <c r="M68" s="26"/>
    </row>
    <row r="69" spans="3:13" x14ac:dyDescent="0.3">
      <c r="C69" s="84" t="s">
        <v>508</v>
      </c>
      <c r="D69" s="84" t="s">
        <v>301</v>
      </c>
      <c r="E69" s="94">
        <f>'Model homes'!E171</f>
        <v>0.02</v>
      </c>
      <c r="F69" s="91"/>
      <c r="G69" s="91"/>
      <c r="H69" s="91"/>
    </row>
    <row r="70" spans="3:13" x14ac:dyDescent="0.3">
      <c r="C70" s="84" t="s">
        <v>509</v>
      </c>
      <c r="D70" s="84" t="s">
        <v>301</v>
      </c>
      <c r="E70" s="63">
        <f>IF($E69=E$72,1,(1-(((1+$E69)/(1+E$72))^E73))/(E72-$E69))</f>
        <v>19.229056279885292</v>
      </c>
      <c r="F70" s="63">
        <f>IF($E69=F$72,1,(1-(((1+$E69)/(1+F$72))^F73))/(F72-$E69))</f>
        <v>19.229056279885292</v>
      </c>
      <c r="G70" s="63">
        <f>IF($E69=G$72,1,(1-(((1+$E69)/(1+G$72))^G73))/(G72-$E69))</f>
        <v>19.229056279885292</v>
      </c>
      <c r="H70" s="63">
        <f>IF($E69=H$72,1,(1-(((1+$E69)/(1+H$72))^H73))/(H72-$E69))</f>
        <v>19.229056279885292</v>
      </c>
    </row>
    <row r="71" spans="3:13" x14ac:dyDescent="0.3">
      <c r="C71" s="84" t="s">
        <v>510</v>
      </c>
      <c r="D71" s="84" t="s">
        <v>505</v>
      </c>
      <c r="E71" s="63">
        <f>-PMT(E72,E73,E68*E70)</f>
        <v>0</v>
      </c>
      <c r="F71" s="63">
        <f>-PMT(F72,F73,F68*F70)</f>
        <v>0</v>
      </c>
      <c r="G71" s="63">
        <f>-PMT(G72,G73,G68*G70)</f>
        <v>0</v>
      </c>
      <c r="H71" s="63">
        <f>-PMT(H72,H73,H68*H70)</f>
        <v>0</v>
      </c>
    </row>
    <row r="72" spans="3:13" x14ac:dyDescent="0.3">
      <c r="C72" s="84" t="s">
        <v>302</v>
      </c>
      <c r="D72" s="84" t="s">
        <v>301</v>
      </c>
      <c r="E72" s="94">
        <f>'Model homes'!$E169</f>
        <v>0.04</v>
      </c>
      <c r="F72" s="94">
        <f>'Model homes'!$E169</f>
        <v>0.04</v>
      </c>
      <c r="G72" s="94">
        <f>'Model homes'!$E169</f>
        <v>0.04</v>
      </c>
      <c r="H72" s="94">
        <f>'Model homes'!$E169</f>
        <v>0.04</v>
      </c>
    </row>
    <row r="73" spans="3:13" x14ac:dyDescent="0.3">
      <c r="C73" s="84" t="s">
        <v>511</v>
      </c>
      <c r="D73" s="84" t="s">
        <v>512</v>
      </c>
      <c r="E73" s="25">
        <v>25</v>
      </c>
      <c r="F73" s="91">
        <f>E73</f>
        <v>25</v>
      </c>
      <c r="G73" s="91">
        <f t="shared" ref="G73:H73" si="13">F73</f>
        <v>25</v>
      </c>
      <c r="H73" s="91">
        <f t="shared" si="13"/>
        <v>25</v>
      </c>
      <c r="J73" s="83" t="s">
        <v>506</v>
      </c>
      <c r="K73" s="15" t="s">
        <v>514</v>
      </c>
    </row>
    <row r="74" spans="3:13" x14ac:dyDescent="0.3">
      <c r="C74" s="84"/>
      <c r="D74" s="84"/>
      <c r="E74" s="91"/>
      <c r="F74" s="91"/>
      <c r="G74" s="91"/>
      <c r="H74" s="91"/>
    </row>
    <row r="75" spans="3:13" x14ac:dyDescent="0.3">
      <c r="C75" s="51" t="s">
        <v>515</v>
      </c>
      <c r="D75" s="84"/>
      <c r="E75" s="91"/>
      <c r="F75" s="91"/>
      <c r="G75" s="91"/>
      <c r="H75" s="91"/>
    </row>
    <row r="76" spans="3:13" x14ac:dyDescent="0.3">
      <c r="C76" s="20" t="s">
        <v>14</v>
      </c>
      <c r="D76" s="15" t="s">
        <v>299</v>
      </c>
      <c r="E76" s="42" t="e">
        <f>'Model homes'!E$127*E31*10^-3/'Model homes'!E$21</f>
        <v>#VALUE!</v>
      </c>
      <c r="F76" s="42" t="e">
        <f>'Model homes'!F$127*F31*10^-3/'Model homes'!F$21</f>
        <v>#VALUE!</v>
      </c>
      <c r="G76" s="42" t="e">
        <f>'Model homes'!G$127*G31*10^-3/'Model homes'!G$21</f>
        <v>#VALUE!</v>
      </c>
      <c r="H76" s="42" t="e">
        <f>'Model homes'!H$127*H31*10^-3/'Model homes'!H$21</f>
        <v>#VALUE!</v>
      </c>
      <c r="J76" s="26" t="s">
        <v>516</v>
      </c>
    </row>
    <row r="77" spans="3:13" x14ac:dyDescent="0.3">
      <c r="C77" s="14" t="s">
        <v>15</v>
      </c>
      <c r="D77" s="15" t="s">
        <v>299</v>
      </c>
      <c r="E77" s="42" t="e">
        <f>'Model homes'!E149*E43</f>
        <v>#VALUE!</v>
      </c>
      <c r="F77" s="42" t="e">
        <f>'Model homes'!F149*F43</f>
        <v>#VALUE!</v>
      </c>
      <c r="G77" s="42" t="e">
        <f>'Model homes'!G149*G43</f>
        <v>#VALUE!</v>
      </c>
      <c r="H77" s="42" t="e">
        <f>'Model homes'!H149*H43</f>
        <v>#VALUE!</v>
      </c>
      <c r="J77" s="26"/>
    </row>
    <row r="78" spans="3:13" x14ac:dyDescent="0.3">
      <c r="C78" s="15" t="s">
        <v>16</v>
      </c>
      <c r="D78" s="15" t="s">
        <v>299</v>
      </c>
      <c r="E78" s="42" t="e">
        <f>'Model homes'!E150*E44</f>
        <v>#VALUE!</v>
      </c>
      <c r="F78" s="42" t="e">
        <f>'Model homes'!F150*F44</f>
        <v>#VALUE!</v>
      </c>
      <c r="G78" s="42" t="e">
        <f>'Model homes'!G150*G44</f>
        <v>#VALUE!</v>
      </c>
      <c r="H78" s="42" t="e">
        <f>'Model homes'!H150*H44</f>
        <v>#VALUE!</v>
      </c>
      <c r="J78" s="26"/>
    </row>
    <row r="79" spans="3:13" x14ac:dyDescent="0.3">
      <c r="C79" s="15" t="s">
        <v>17</v>
      </c>
      <c r="D79" s="15" t="s">
        <v>299</v>
      </c>
      <c r="E79" s="42" t="e">
        <f>'Model homes'!E151*E45</f>
        <v>#VALUE!</v>
      </c>
      <c r="F79" s="42" t="e">
        <f>'Model homes'!F151*F45</f>
        <v>#VALUE!</v>
      </c>
      <c r="G79" s="42" t="e">
        <f>'Model homes'!G151*G45</f>
        <v>#VALUE!</v>
      </c>
      <c r="H79" s="42" t="e">
        <f>'Model homes'!H151*H45</f>
        <v>#VALUE!</v>
      </c>
      <c r="J79" s="26"/>
    </row>
    <row r="80" spans="3:13" x14ac:dyDescent="0.3">
      <c r="C80" s="15" t="s">
        <v>18</v>
      </c>
      <c r="D80" s="15" t="s">
        <v>299</v>
      </c>
      <c r="E80" s="42" t="e">
        <f>'Model homes'!E152*E46</f>
        <v>#VALUE!</v>
      </c>
      <c r="F80" s="42" t="e">
        <f>'Model homes'!F152*F46</f>
        <v>#VALUE!</v>
      </c>
      <c r="G80" s="42" t="e">
        <f>'Model homes'!G152*G46</f>
        <v>#VALUE!</v>
      </c>
      <c r="H80" s="42" t="e">
        <f>'Model homes'!H152*H46</f>
        <v>#VALUE!</v>
      </c>
      <c r="J80" s="26"/>
    </row>
    <row r="81" spans="3:12" x14ac:dyDescent="0.3">
      <c r="C81" s="15" t="s">
        <v>19</v>
      </c>
      <c r="D81" s="15" t="s">
        <v>299</v>
      </c>
      <c r="E81" s="42" t="e">
        <f>'Model homes'!E153*E47</f>
        <v>#VALUE!</v>
      </c>
      <c r="F81" s="42" t="e">
        <f>'Model homes'!F153*F47</f>
        <v>#VALUE!</v>
      </c>
      <c r="G81" s="42" t="e">
        <f>'Model homes'!G153*G47</f>
        <v>#VALUE!</v>
      </c>
      <c r="H81" s="42" t="e">
        <f>'Model homes'!H153*H47</f>
        <v>#VALUE!</v>
      </c>
      <c r="J81" s="26"/>
    </row>
    <row r="82" spans="3:12" ht="15.95" customHeight="1" x14ac:dyDescent="0.3">
      <c r="C82" s="14" t="s">
        <v>20</v>
      </c>
      <c r="D82" s="15" t="s">
        <v>299</v>
      </c>
      <c r="E82" s="42" t="e">
        <f>'Model homes'!E154*E48</f>
        <v>#VALUE!</v>
      </c>
      <c r="F82" s="42" t="e">
        <f>'Model homes'!F154*F48</f>
        <v>#VALUE!</v>
      </c>
      <c r="G82" s="42" t="e">
        <f>'Model homes'!G154*G48</f>
        <v>#VALUE!</v>
      </c>
      <c r="H82" s="42" t="e">
        <f>'Model homes'!H154*H48</f>
        <v>#VALUE!</v>
      </c>
      <c r="J82" s="26"/>
    </row>
    <row r="83" spans="3:12" ht="15.95" customHeight="1" x14ac:dyDescent="0.3">
      <c r="C83" s="14" t="s">
        <v>21</v>
      </c>
      <c r="D83" s="15" t="s">
        <v>299</v>
      </c>
      <c r="E83" s="42"/>
      <c r="F83" s="42"/>
      <c r="G83" s="42"/>
      <c r="H83" s="42"/>
      <c r="J83" s="26"/>
      <c r="K83" s="17" t="s">
        <v>478</v>
      </c>
      <c r="L83" s="17" t="s">
        <v>479</v>
      </c>
    </row>
    <row r="84" spans="3:12" x14ac:dyDescent="0.3">
      <c r="C84" s="14" t="s">
        <v>22</v>
      </c>
      <c r="D84" s="15" t="s">
        <v>299</v>
      </c>
      <c r="E84" s="42" t="e">
        <f>'Model homes'!E156*E50</f>
        <v>#VALUE!</v>
      </c>
      <c r="F84" s="42" t="e">
        <f>'Model homes'!F156*F50</f>
        <v>#VALUE!</v>
      </c>
      <c r="G84" s="42" t="e">
        <f>'Model homes'!G156*G50</f>
        <v>#VALUE!</v>
      </c>
      <c r="H84" s="42" t="e">
        <f>'Model homes'!H156*H50</f>
        <v>#VALUE!</v>
      </c>
      <c r="J84" s="45" t="e">
        <f>ROUND(MIN(E76:H84),0)&amp;" - "&amp;ROUND(MAX(E76:H84),0)</f>
        <v>#VALUE!</v>
      </c>
      <c r="K84" s="142" t="e">
        <f>AVERAGE(E76:H84)</f>
        <v>#VALUE!</v>
      </c>
      <c r="L84" s="45" t="e">
        <f>AVERAGEIFS($E$76:$H$84,$J$102:$M$110,"yes")</f>
        <v>#DIV/0!</v>
      </c>
    </row>
    <row r="85" spans="3:12" x14ac:dyDescent="0.3">
      <c r="C85" s="20"/>
      <c r="D85" s="15"/>
      <c r="E85" s="42"/>
      <c r="F85" s="55"/>
      <c r="G85" s="42"/>
      <c r="H85" s="42"/>
      <c r="J85" s="26"/>
    </row>
    <row r="86" spans="3:12" x14ac:dyDescent="0.3">
      <c r="C86" s="51" t="s">
        <v>517</v>
      </c>
      <c r="D86" s="84"/>
      <c r="E86" s="91"/>
      <c r="F86" s="91"/>
      <c r="G86" s="91"/>
      <c r="H86" s="91"/>
      <c r="J86" s="51" t="s">
        <v>509</v>
      </c>
    </row>
    <row r="87" spans="3:12" x14ac:dyDescent="0.3">
      <c r="C87" s="20" t="s">
        <v>14</v>
      </c>
      <c r="D87" s="15" t="s">
        <v>299</v>
      </c>
      <c r="E87" s="55" t="e">
        <f>-PMT(E$72,E$73,E76*$J87)</f>
        <v>#VALUE!</v>
      </c>
      <c r="F87" s="55" t="e">
        <f t="shared" ref="F87:H87" si="14">-PMT(F$72,F$73,F76*$J87)</f>
        <v>#VALUE!</v>
      </c>
      <c r="G87" s="55" t="e">
        <f t="shared" si="14"/>
        <v>#VALUE!</v>
      </c>
      <c r="H87" s="55" t="e">
        <f t="shared" si="14"/>
        <v>#VALUE!</v>
      </c>
      <c r="J87" s="63">
        <f>(1-(((1+'Model homes'!$E159)/(1+E$72))^E$73))/(E$72-'Model homes'!$E159)</f>
        <v>20.303627885319141</v>
      </c>
    </row>
    <row r="88" spans="3:12" x14ac:dyDescent="0.3">
      <c r="C88" s="14" t="s">
        <v>15</v>
      </c>
      <c r="D88" s="15" t="s">
        <v>299</v>
      </c>
      <c r="E88" s="55" t="e">
        <f t="shared" ref="E88:H95" si="15">-PMT(E$72,E$73,E77*$J88)</f>
        <v>#VALUE!</v>
      </c>
      <c r="F88" s="55" t="e">
        <f t="shared" si="15"/>
        <v>#VALUE!</v>
      </c>
      <c r="G88" s="55" t="e">
        <f t="shared" si="15"/>
        <v>#VALUE!</v>
      </c>
      <c r="H88" s="55" t="e">
        <f t="shared" si="15"/>
        <v>#VALUE!</v>
      </c>
      <c r="J88" s="63">
        <f>(1-(((1+'Model homes'!$E160)/(1+E$72))^E$73))/(E$72-'Model homes'!$E160)</f>
        <v>19.229056279885292</v>
      </c>
    </row>
    <row r="89" spans="3:12" x14ac:dyDescent="0.3">
      <c r="C89" s="15" t="s">
        <v>16</v>
      </c>
      <c r="D89" s="15" t="s">
        <v>299</v>
      </c>
      <c r="E89" s="55" t="e">
        <f t="shared" si="15"/>
        <v>#VALUE!</v>
      </c>
      <c r="F89" s="55" t="e">
        <f t="shared" si="15"/>
        <v>#VALUE!</v>
      </c>
      <c r="G89" s="55" t="e">
        <f t="shared" si="15"/>
        <v>#VALUE!</v>
      </c>
      <c r="H89" s="55" t="e">
        <f t="shared" si="15"/>
        <v>#VALUE!</v>
      </c>
      <c r="J89" s="63">
        <f>(1-(((1+'Model homes'!$E161)/(1+E$72))^E$73))/(E$72-'Model homes'!$E161)</f>
        <v>20.303627885319141</v>
      </c>
    </row>
    <row r="90" spans="3:12" x14ac:dyDescent="0.3">
      <c r="C90" s="15" t="s">
        <v>17</v>
      </c>
      <c r="D90" s="15" t="s">
        <v>299</v>
      </c>
      <c r="E90" s="55" t="e">
        <f t="shared" si="15"/>
        <v>#VALUE!</v>
      </c>
      <c r="F90" s="55" t="e">
        <f t="shared" si="15"/>
        <v>#VALUE!</v>
      </c>
      <c r="G90" s="55" t="e">
        <f t="shared" si="15"/>
        <v>#VALUE!</v>
      </c>
      <c r="H90" s="55" t="e">
        <f t="shared" si="15"/>
        <v>#VALUE!</v>
      </c>
      <c r="J90" s="63">
        <f>(1-(((1+'Model homes'!$E162)/(1+E$72))^E$73))/(E$72-'Model homes'!$E162)</f>
        <v>20.303627885319141</v>
      </c>
    </row>
    <row r="91" spans="3:12" x14ac:dyDescent="0.3">
      <c r="C91" s="15" t="s">
        <v>18</v>
      </c>
      <c r="D91" s="15" t="s">
        <v>299</v>
      </c>
      <c r="E91" s="55" t="e">
        <f t="shared" si="15"/>
        <v>#VALUE!</v>
      </c>
      <c r="F91" s="55" t="e">
        <f t="shared" si="15"/>
        <v>#VALUE!</v>
      </c>
      <c r="G91" s="55" t="e">
        <f t="shared" si="15"/>
        <v>#VALUE!</v>
      </c>
      <c r="H91" s="55" t="e">
        <f t="shared" si="15"/>
        <v>#VALUE!</v>
      </c>
      <c r="J91" s="63">
        <f>(1-(((1+'Model homes'!$E163)/(1+E$72))^E$73))/(E$72-'Model homes'!$E163)</f>
        <v>20.303627885319141</v>
      </c>
    </row>
    <row r="92" spans="3:12" x14ac:dyDescent="0.3">
      <c r="C92" s="15" t="s">
        <v>19</v>
      </c>
      <c r="D92" s="15" t="s">
        <v>299</v>
      </c>
      <c r="E92" s="55" t="e">
        <f t="shared" si="15"/>
        <v>#VALUE!</v>
      </c>
      <c r="F92" s="55" t="e">
        <f t="shared" si="15"/>
        <v>#VALUE!</v>
      </c>
      <c r="G92" s="55" t="e">
        <f t="shared" si="15"/>
        <v>#VALUE!</v>
      </c>
      <c r="H92" s="55" t="e">
        <f t="shared" si="15"/>
        <v>#VALUE!</v>
      </c>
      <c r="J92" s="63">
        <f>(1-(((1+'Model homes'!$E164)/(1+E$72))^E$73))/(E$72-'Model homes'!$E164)</f>
        <v>20.303627885319141</v>
      </c>
    </row>
    <row r="93" spans="3:12" ht="15.95" customHeight="1" x14ac:dyDescent="0.3">
      <c r="C93" s="14" t="s">
        <v>20</v>
      </c>
      <c r="D93" s="15" t="s">
        <v>299</v>
      </c>
      <c r="E93" s="55" t="e">
        <f t="shared" si="15"/>
        <v>#VALUE!</v>
      </c>
      <c r="F93" s="55" t="e">
        <f t="shared" si="15"/>
        <v>#VALUE!</v>
      </c>
      <c r="G93" s="55" t="e">
        <f t="shared" si="15"/>
        <v>#VALUE!</v>
      </c>
      <c r="H93" s="55" t="e">
        <f t="shared" si="15"/>
        <v>#VALUE!</v>
      </c>
      <c r="J93" s="63">
        <f>(1-(((1+'Model homes'!$E165)/(1+E$72))^E$73))/(E$72-'Model homes'!$E165)</f>
        <v>21.221058703962093</v>
      </c>
    </row>
    <row r="94" spans="3:12" ht="15.95" customHeight="1" x14ac:dyDescent="0.3">
      <c r="C94" s="14" t="s">
        <v>21</v>
      </c>
      <c r="D94" s="15" t="s">
        <v>299</v>
      </c>
      <c r="E94" s="55"/>
      <c r="F94" s="55"/>
      <c r="G94" s="55"/>
      <c r="H94" s="55"/>
      <c r="J94" s="63"/>
    </row>
    <row r="95" spans="3:12" x14ac:dyDescent="0.3">
      <c r="C95" s="14" t="s">
        <v>22</v>
      </c>
      <c r="D95" s="15" t="s">
        <v>299</v>
      </c>
      <c r="E95" s="55" t="e">
        <f t="shared" si="15"/>
        <v>#VALUE!</v>
      </c>
      <c r="F95" s="55" t="e">
        <f t="shared" si="15"/>
        <v>#VALUE!</v>
      </c>
      <c r="G95" s="55" t="e">
        <f t="shared" si="15"/>
        <v>#VALUE!</v>
      </c>
      <c r="H95" s="55" t="e">
        <f t="shared" si="15"/>
        <v>#VALUE!</v>
      </c>
      <c r="J95" s="63">
        <f>(1-(((1+'Model homes'!$E167)/(1+E$72))^E$73))/(E$72-'Model homes'!$E167)</f>
        <v>20.303627885319141</v>
      </c>
    </row>
    <row r="96" spans="3:12" x14ac:dyDescent="0.3">
      <c r="C96" s="20"/>
      <c r="D96" s="15"/>
      <c r="E96" s="42"/>
      <c r="F96" s="55"/>
      <c r="G96" s="42"/>
      <c r="H96" s="42"/>
      <c r="J96" s="26"/>
    </row>
    <row r="97" spans="2:16" ht="20.25" x14ac:dyDescent="0.35">
      <c r="C97" s="81" t="s">
        <v>518</v>
      </c>
      <c r="D97" s="46"/>
      <c r="E97" s="55"/>
      <c r="F97" s="55"/>
      <c r="G97" s="55"/>
      <c r="H97" s="55"/>
      <c r="J97" s="26"/>
    </row>
    <row r="98" spans="2:16" s="18" customFormat="1" ht="17.25" thickBot="1" x14ac:dyDescent="0.35">
      <c r="B98" s="19" t="s">
        <v>153</v>
      </c>
      <c r="C98" s="19" t="s">
        <v>154</v>
      </c>
      <c r="D98" s="19" t="s">
        <v>32</v>
      </c>
      <c r="E98" s="19" t="s">
        <v>155</v>
      </c>
      <c r="F98" s="19"/>
      <c r="G98" s="19" t="s">
        <v>155</v>
      </c>
      <c r="H98" s="19"/>
      <c r="I98" s="19"/>
      <c r="J98" s="56" t="s">
        <v>156</v>
      </c>
      <c r="K98" s="56"/>
    </row>
    <row r="99" spans="2:16" s="30" customFormat="1" ht="18" thickTop="1" thickBot="1" x14ac:dyDescent="0.35">
      <c r="B99" s="28"/>
      <c r="C99" s="29" t="s">
        <v>157</v>
      </c>
      <c r="D99" s="29"/>
      <c r="E99" s="335" t="s">
        <v>5</v>
      </c>
      <c r="F99" s="335"/>
      <c r="G99" s="335" t="s">
        <v>6</v>
      </c>
      <c r="H99" s="335"/>
      <c r="I99" s="28"/>
      <c r="J99" s="28"/>
      <c r="K99" s="57"/>
      <c r="M99" s="20"/>
    </row>
    <row r="100" spans="2:16" ht="18" thickTop="1" thickBot="1" x14ac:dyDescent="0.35">
      <c r="B100" s="19"/>
      <c r="C100" s="29" t="s">
        <v>158</v>
      </c>
      <c r="D100" s="29"/>
      <c r="E100" s="29" t="s">
        <v>7</v>
      </c>
      <c r="F100" s="29" t="s">
        <v>8</v>
      </c>
      <c r="G100" s="29" t="s">
        <v>7</v>
      </c>
      <c r="H100" s="29" t="s">
        <v>8</v>
      </c>
      <c r="I100" s="19"/>
      <c r="J100" s="19"/>
      <c r="K100" s="56"/>
      <c r="M100" s="82"/>
      <c r="N100" s="82"/>
    </row>
    <row r="101" spans="2:16" ht="17.25" thickTop="1" x14ac:dyDescent="0.3">
      <c r="C101" s="51" t="s">
        <v>519</v>
      </c>
      <c r="D101" s="84"/>
      <c r="E101" s="90"/>
      <c r="F101" s="90"/>
      <c r="G101" s="90"/>
      <c r="H101" s="90"/>
      <c r="J101" s="20" t="s">
        <v>520</v>
      </c>
    </row>
    <row r="102" spans="2:16" x14ac:dyDescent="0.3">
      <c r="C102" s="20" t="s">
        <v>14</v>
      </c>
      <c r="D102" s="84" t="s">
        <v>512</v>
      </c>
      <c r="E102" s="42" t="e">
        <f>IF(E$66/'Model homes'!E$21/(E76-E$68)&lt;0,"-",E$66/'Model homes'!E$21/(E76-E$68))</f>
        <v>#VALUE!</v>
      </c>
      <c r="F102" s="42" t="e">
        <f>IF(F$66/'Model homes'!F$21/(F76-F$68)&lt;0,"-",F$66/'Model homes'!F$21/(F76-F$68))</f>
        <v>#VALUE!</v>
      </c>
      <c r="G102" s="42" t="e">
        <f>IF(G$66/'Model homes'!G$21/(G76-G$68)&lt;0,"-",G$66/'Model homes'!G$21/(G76-G$68))</f>
        <v>#VALUE!</v>
      </c>
      <c r="H102" s="42" t="e">
        <f>IF(H$66/'Model homes'!H$21/(H76-H$68)&lt;0,"-",H$66/'Model homes'!H$21/(H76-H$68))</f>
        <v>#VALUE!</v>
      </c>
      <c r="J102" s="42" t="e">
        <f t="shared" ref="J102:M110" si="16">IF(E102&lt;E$73,"yes","no")</f>
        <v>#VALUE!</v>
      </c>
      <c r="K102" s="42" t="e">
        <f t="shared" si="16"/>
        <v>#VALUE!</v>
      </c>
      <c r="L102" s="42" t="e">
        <f t="shared" si="16"/>
        <v>#VALUE!</v>
      </c>
      <c r="M102" s="42" t="e">
        <f t="shared" si="16"/>
        <v>#VALUE!</v>
      </c>
    </row>
    <row r="103" spans="2:16" x14ac:dyDescent="0.3">
      <c r="C103" s="14" t="s">
        <v>15</v>
      </c>
      <c r="D103" s="84" t="s">
        <v>512</v>
      </c>
      <c r="E103" s="42" t="e">
        <f>IF(E$66/'Model homes'!E$21/(E77-E$68)&lt;0,"-",E$66/'Model homes'!E$21/(E77-E$68))</f>
        <v>#VALUE!</v>
      </c>
      <c r="F103" s="42" t="e">
        <f>IF(F$66/'Model homes'!F$21/(F77-F$68)&lt;0,"-",F$66/'Model homes'!F$21/(F77-F$68))</f>
        <v>#VALUE!</v>
      </c>
      <c r="G103" s="42" t="e">
        <f>IF(G$66/'Model homes'!G$21/(G77-G$68)&lt;0,"-",G$66/'Model homes'!G$21/(G77-G$68))</f>
        <v>#VALUE!</v>
      </c>
      <c r="H103" s="42" t="e">
        <f>IF(H$66/'Model homes'!H$21/(H77-H$68)&lt;0,"-",H$66/'Model homes'!H$21/(H77-H$68))</f>
        <v>#VALUE!</v>
      </c>
      <c r="J103" s="42" t="e">
        <f t="shared" si="16"/>
        <v>#VALUE!</v>
      </c>
      <c r="K103" s="42" t="e">
        <f t="shared" si="16"/>
        <v>#VALUE!</v>
      </c>
      <c r="L103" s="42" t="e">
        <f t="shared" si="16"/>
        <v>#VALUE!</v>
      </c>
      <c r="M103" s="42" t="e">
        <f t="shared" si="16"/>
        <v>#VALUE!</v>
      </c>
    </row>
    <row r="104" spans="2:16" x14ac:dyDescent="0.3">
      <c r="C104" s="15" t="s">
        <v>16</v>
      </c>
      <c r="D104" s="84" t="s">
        <v>512</v>
      </c>
      <c r="E104" s="42" t="e">
        <f>IF(E$66/'Model homes'!E$21/(E78-E$68)&lt;0,"-",E$66/'Model homes'!E$21/(E78-E$68))</f>
        <v>#VALUE!</v>
      </c>
      <c r="F104" s="42" t="e">
        <f>IF(F$66/'Model homes'!F$21/(F78-F$68)&lt;0,"-",F$66/'Model homes'!F$21/(F78-F$68))</f>
        <v>#VALUE!</v>
      </c>
      <c r="G104" s="42" t="e">
        <f>IF(G$66/'Model homes'!G$21/(G78-G$68)&lt;0,"-",G$66/'Model homes'!G$21/(G78-G$68))</f>
        <v>#VALUE!</v>
      </c>
      <c r="H104" s="42" t="e">
        <f>IF(H$66/'Model homes'!H$21/(H78-H$68)&lt;0,"-",H$66/'Model homes'!H$21/(H78-H$68))</f>
        <v>#VALUE!</v>
      </c>
      <c r="J104" s="42" t="e">
        <f t="shared" si="16"/>
        <v>#VALUE!</v>
      </c>
      <c r="K104" s="42" t="e">
        <f t="shared" si="16"/>
        <v>#VALUE!</v>
      </c>
      <c r="L104" s="42" t="e">
        <f t="shared" si="16"/>
        <v>#VALUE!</v>
      </c>
      <c r="M104" s="42" t="e">
        <f t="shared" si="16"/>
        <v>#VALUE!</v>
      </c>
    </row>
    <row r="105" spans="2:16" x14ac:dyDescent="0.3">
      <c r="C105" s="15" t="s">
        <v>17</v>
      </c>
      <c r="D105" s="84" t="s">
        <v>512</v>
      </c>
      <c r="E105" s="42" t="e">
        <f>IF(E$66/'Model homes'!E$21/(E79-E$68)&lt;0,"-",E$66/'Model homes'!E$21/(E79-E$68))</f>
        <v>#VALUE!</v>
      </c>
      <c r="F105" s="42" t="e">
        <f>IF(F$66/'Model homes'!F$21/(F79-F$68)&lt;0,"-",F$66/'Model homes'!F$21/(F79-F$68))</f>
        <v>#VALUE!</v>
      </c>
      <c r="G105" s="42" t="e">
        <f>IF(G$66/'Model homes'!G$21/(G79-G$68)&lt;0,"-",G$66/'Model homes'!G$21/(G79-G$68))</f>
        <v>#VALUE!</v>
      </c>
      <c r="H105" s="42" t="e">
        <f>IF(H$66/'Model homes'!H$21/(H79-H$68)&lt;0,"-",H$66/'Model homes'!H$21/(H79-H$68))</f>
        <v>#VALUE!</v>
      </c>
      <c r="J105" s="42" t="e">
        <f t="shared" si="16"/>
        <v>#VALUE!</v>
      </c>
      <c r="K105" s="42" t="e">
        <f t="shared" si="16"/>
        <v>#VALUE!</v>
      </c>
      <c r="L105" s="42" t="e">
        <f t="shared" si="16"/>
        <v>#VALUE!</v>
      </c>
      <c r="M105" s="42" t="e">
        <f t="shared" si="16"/>
        <v>#VALUE!</v>
      </c>
    </row>
    <row r="106" spans="2:16" x14ac:dyDescent="0.3">
      <c r="C106" s="15" t="s">
        <v>18</v>
      </c>
      <c r="D106" s="84" t="s">
        <v>512</v>
      </c>
      <c r="E106" s="42" t="e">
        <f>IF(E$66/'Model homes'!E$21/(E80-E$68)&lt;0,"-",E$66/'Model homes'!E$21/(E80-E$68))</f>
        <v>#VALUE!</v>
      </c>
      <c r="F106" s="42" t="e">
        <f>IF(F$66/'Model homes'!F$21/(F80-F$68)&lt;0,"-",F$66/'Model homes'!F$21/(F80-F$68))</f>
        <v>#VALUE!</v>
      </c>
      <c r="G106" s="42" t="e">
        <f>IF(G$66/'Model homes'!G$21/(G80-G$68)&lt;0,"-",G$66/'Model homes'!G$21/(G80-G$68))</f>
        <v>#VALUE!</v>
      </c>
      <c r="H106" s="42" t="e">
        <f>IF(H$66/'Model homes'!H$21/(H80-H$68)&lt;0,"-",H$66/'Model homes'!H$21/(H80-H$68))</f>
        <v>#VALUE!</v>
      </c>
      <c r="J106" s="42" t="e">
        <f t="shared" si="16"/>
        <v>#VALUE!</v>
      </c>
      <c r="K106" s="42" t="e">
        <f t="shared" si="16"/>
        <v>#VALUE!</v>
      </c>
      <c r="L106" s="42" t="e">
        <f t="shared" si="16"/>
        <v>#VALUE!</v>
      </c>
      <c r="M106" s="42" t="e">
        <f t="shared" si="16"/>
        <v>#VALUE!</v>
      </c>
    </row>
    <row r="107" spans="2:16" x14ac:dyDescent="0.3">
      <c r="C107" s="15" t="s">
        <v>19</v>
      </c>
      <c r="D107" s="84" t="s">
        <v>512</v>
      </c>
      <c r="E107" s="42" t="e">
        <f>IF(E$66/'Model homes'!E$21/(E81-E$68)&lt;0,"-",E$66/'Model homes'!E$21/(E81-E$68))</f>
        <v>#VALUE!</v>
      </c>
      <c r="F107" s="42" t="e">
        <f>IF(F$66/'Model homes'!F$21/(F81-F$68)&lt;0,"-",F$66/'Model homes'!F$21/(F81-F$68))</f>
        <v>#VALUE!</v>
      </c>
      <c r="G107" s="42" t="e">
        <f>IF(G$66/'Model homes'!G$21/(G81-G$68)&lt;0,"-",G$66/'Model homes'!G$21/(G81-G$68))</f>
        <v>#VALUE!</v>
      </c>
      <c r="H107" s="42" t="e">
        <f>IF(H$66/'Model homes'!H$21/(H81-H$68)&lt;0,"-",H$66/'Model homes'!H$21/(H81-H$68))</f>
        <v>#VALUE!</v>
      </c>
      <c r="J107" s="42" t="e">
        <f t="shared" si="16"/>
        <v>#VALUE!</v>
      </c>
      <c r="K107" s="42" t="e">
        <f t="shared" si="16"/>
        <v>#VALUE!</v>
      </c>
      <c r="L107" s="42" t="e">
        <f t="shared" si="16"/>
        <v>#VALUE!</v>
      </c>
      <c r="M107" s="42" t="e">
        <f t="shared" si="16"/>
        <v>#VALUE!</v>
      </c>
    </row>
    <row r="108" spans="2:16" ht="15.95" customHeight="1" x14ac:dyDescent="0.3">
      <c r="C108" s="14" t="s">
        <v>20</v>
      </c>
      <c r="D108" s="84" t="s">
        <v>512</v>
      </c>
      <c r="E108" s="42" t="e">
        <f>IF(E$66/'Model homes'!E$21/(E82-E$68)&lt;0,"-",E$66/'Model homes'!E$21/(E82-E$68))</f>
        <v>#VALUE!</v>
      </c>
      <c r="F108" s="42" t="e">
        <f>IF(F$66/'Model homes'!F$21/(F82-F$68)&lt;0,"-",F$66/'Model homes'!F$21/(F82-F$68))</f>
        <v>#VALUE!</v>
      </c>
      <c r="G108" s="42" t="e">
        <f>IF(G$66/'Model homes'!G$21/(G82-G$68)&lt;0,"-",G$66/'Model homes'!G$21/(G82-G$68))</f>
        <v>#VALUE!</v>
      </c>
      <c r="H108" s="42" t="e">
        <f>IF(H$66/'Model homes'!H$21/(H82-H$68)&lt;0,"-",H$66/'Model homes'!H$21/(H82-H$68))</f>
        <v>#VALUE!</v>
      </c>
      <c r="J108" s="42" t="e">
        <f t="shared" si="16"/>
        <v>#VALUE!</v>
      </c>
      <c r="K108" s="42" t="e">
        <f t="shared" si="16"/>
        <v>#VALUE!</v>
      </c>
      <c r="L108" s="42" t="e">
        <f t="shared" si="16"/>
        <v>#VALUE!</v>
      </c>
      <c r="M108" s="42" t="e">
        <f t="shared" si="16"/>
        <v>#VALUE!</v>
      </c>
    </row>
    <row r="109" spans="2:16" ht="15.95" customHeight="1" x14ac:dyDescent="0.3">
      <c r="C109" s="14" t="s">
        <v>21</v>
      </c>
      <c r="D109" s="84" t="s">
        <v>512</v>
      </c>
      <c r="E109" s="42"/>
      <c r="F109" s="42"/>
      <c r="G109" s="42"/>
      <c r="H109" s="42"/>
      <c r="J109" s="42"/>
      <c r="K109" s="42"/>
      <c r="L109" s="42"/>
      <c r="M109" s="42"/>
      <c r="O109" s="17" t="s">
        <v>7</v>
      </c>
      <c r="P109" s="17" t="s">
        <v>8</v>
      </c>
    </row>
    <row r="110" spans="2:16" x14ac:dyDescent="0.3">
      <c r="C110" s="14" t="s">
        <v>22</v>
      </c>
      <c r="D110" s="84" t="s">
        <v>512</v>
      </c>
      <c r="E110" s="42" t="e">
        <f>IF(E$66/'Model homes'!E$21/(E84-E$68)&lt;0,"-",E$66/'Model homes'!E$21/(E84-E$68))</f>
        <v>#VALUE!</v>
      </c>
      <c r="F110" s="42" t="e">
        <f>IF(F$66/'Model homes'!F$21/(F84-F$68)&lt;0,"-",F$66/'Model homes'!F$21/(F84-F$68))</f>
        <v>#VALUE!</v>
      </c>
      <c r="G110" s="42" t="e">
        <f>IF(G$66/'Model homes'!G$21/(G84-G$68)&lt;0,"-",G$66/'Model homes'!G$21/(G84-G$68))</f>
        <v>#VALUE!</v>
      </c>
      <c r="H110" s="42" t="e">
        <f>IF(H$66/'Model homes'!H$21/(H84-H$68)&lt;0,"-",H$66/'Model homes'!H$21/(H84-H$68))</f>
        <v>#VALUE!</v>
      </c>
      <c r="J110" s="42" t="e">
        <f t="shared" si="16"/>
        <v>#VALUE!</v>
      </c>
      <c r="K110" s="42" t="e">
        <f t="shared" si="16"/>
        <v>#VALUE!</v>
      </c>
      <c r="L110" s="42" t="e">
        <f t="shared" si="16"/>
        <v>#VALUE!</v>
      </c>
      <c r="M110" s="42" t="e">
        <f t="shared" si="16"/>
        <v>#VALUE!</v>
      </c>
      <c r="O110" s="17" t="str">
        <f>IF((COUNTIF(J102:J110,"yes")+COUNTIF(L102:L110,"yes"))&gt;=(COUNTIF(J102:J110,"no")+COUNTIF(L102:L110,"no")),"yes","no")</f>
        <v>yes</v>
      </c>
      <c r="P110" s="17" t="str">
        <f>IF((COUNTIF(K102:K110,"yes")+COUNTIF(M102:M110,"yes"))&gt;=(COUNTIF(K102:K110,"no")+COUNTIF(M102:M110,"no")),"yes","no")</f>
        <v>yes</v>
      </c>
    </row>
    <row r="111" spans="2:16" x14ac:dyDescent="0.3">
      <c r="C111" s="20"/>
      <c r="D111" s="96"/>
      <c r="E111" s="55"/>
      <c r="F111" s="55"/>
      <c r="G111" s="55"/>
      <c r="H111" s="55"/>
      <c r="J111" s="26"/>
    </row>
    <row r="112" spans="2:16" x14ac:dyDescent="0.3">
      <c r="C112" s="51" t="s">
        <v>521</v>
      </c>
      <c r="D112" s="84"/>
      <c r="E112" s="90"/>
      <c r="F112" s="90"/>
      <c r="G112" s="90"/>
      <c r="H112" s="90"/>
      <c r="J112" s="20" t="s">
        <v>520</v>
      </c>
    </row>
    <row r="113" spans="3:40" x14ac:dyDescent="0.3">
      <c r="C113" s="20" t="s">
        <v>14</v>
      </c>
      <c r="D113" s="84" t="s">
        <v>512</v>
      </c>
      <c r="E113" s="42" t="e">
        <f>IF((E$66/'Model homes'!E$21)/(E87-E$71)&lt;0,"-",(E$66/'Model homes'!E$21)/(E87-E$71))</f>
        <v>#VALUE!</v>
      </c>
      <c r="F113" s="42" t="e">
        <f>IF((F$66/'Model homes'!F$21)/(F87-F$71)&lt;0,"-",(F$66/'Model homes'!F$21)/(F87-F$71))</f>
        <v>#VALUE!</v>
      </c>
      <c r="G113" s="42" t="e">
        <f>IF((G$66/'Model homes'!G$21)/(G87-G$71)&lt;0,"-",(G$66/'Model homes'!G$21)/(G87-G$71))</f>
        <v>#VALUE!</v>
      </c>
      <c r="H113" s="42" t="e">
        <f>IF((H$66/'Model homes'!H$21)/(H87-H$71)&lt;0,"-",(H$66/'Model homes'!H$21)/(H87-H$71))</f>
        <v>#VALUE!</v>
      </c>
      <c r="J113" s="42" t="e">
        <f t="shared" ref="J113:M121" si="17">IF(E113&lt;E$73,"yes","no")</f>
        <v>#VALUE!</v>
      </c>
      <c r="K113" s="42" t="e">
        <f t="shared" si="17"/>
        <v>#VALUE!</v>
      </c>
      <c r="L113" s="42" t="e">
        <f t="shared" si="17"/>
        <v>#VALUE!</v>
      </c>
      <c r="M113" s="42" t="e">
        <f t="shared" si="17"/>
        <v>#VALUE!</v>
      </c>
    </row>
    <row r="114" spans="3:40" x14ac:dyDescent="0.3">
      <c r="C114" s="14" t="s">
        <v>15</v>
      </c>
      <c r="D114" s="84" t="s">
        <v>512</v>
      </c>
      <c r="E114" s="42" t="e">
        <f>IF((E$66/'Model homes'!E$21)/(E88-E$71)&lt;0,"-",(E$66/'Model homes'!E$21)/(E88-E$71))</f>
        <v>#VALUE!</v>
      </c>
      <c r="F114" s="42" t="e">
        <f>IF((F$66/'Model homes'!F$21)/(F88-F$71)&lt;0,"-",(F$66/'Model homes'!F$21)/(F88-F$71))</f>
        <v>#VALUE!</v>
      </c>
      <c r="G114" s="42" t="e">
        <f>IF((G$66/'Model homes'!G$21)/(G88-G$71)&lt;0,"-",(G$66/'Model homes'!G$21)/(G88-G$71))</f>
        <v>#VALUE!</v>
      </c>
      <c r="H114" s="42" t="e">
        <f>IF((H$66/'Model homes'!H$21)/(H88-H$71)&lt;0,"-",(H$66/'Model homes'!H$21)/(H88-H$71))</f>
        <v>#VALUE!</v>
      </c>
      <c r="J114" s="42" t="e">
        <f t="shared" si="17"/>
        <v>#VALUE!</v>
      </c>
      <c r="K114" s="42" t="e">
        <f t="shared" si="17"/>
        <v>#VALUE!</v>
      </c>
      <c r="L114" s="42" t="e">
        <f t="shared" si="17"/>
        <v>#VALUE!</v>
      </c>
      <c r="M114" s="42" t="e">
        <f t="shared" si="17"/>
        <v>#VALUE!</v>
      </c>
    </row>
    <row r="115" spans="3:40" x14ac:dyDescent="0.3">
      <c r="C115" s="15" t="s">
        <v>16</v>
      </c>
      <c r="D115" s="84" t="s">
        <v>512</v>
      </c>
      <c r="E115" s="42" t="e">
        <f>IF((E$66/'Model homes'!E$21)/(E89-E$71)&lt;0,"-",(E$66/'Model homes'!E$21)/(E89-E$71))</f>
        <v>#VALUE!</v>
      </c>
      <c r="F115" s="42" t="e">
        <f>IF((F$66/'Model homes'!F$21)/(F89-F$71)&lt;0,"-",(F$66/'Model homes'!F$21)/(F89-F$71))</f>
        <v>#VALUE!</v>
      </c>
      <c r="G115" s="42" t="e">
        <f>IF((G$66/'Model homes'!G$21)/(G89-G$71)&lt;0,"-",(G$66/'Model homes'!G$21)/(G89-G$71))</f>
        <v>#VALUE!</v>
      </c>
      <c r="H115" s="42" t="e">
        <f>IF((H$66/'Model homes'!H$21)/(H89-H$71)&lt;0,"-",(H$66/'Model homes'!H$21)/(H89-H$71))</f>
        <v>#VALUE!</v>
      </c>
      <c r="J115" s="42" t="e">
        <f t="shared" si="17"/>
        <v>#VALUE!</v>
      </c>
      <c r="K115" s="42" t="e">
        <f t="shared" si="17"/>
        <v>#VALUE!</v>
      </c>
      <c r="L115" s="42" t="e">
        <f t="shared" si="17"/>
        <v>#VALUE!</v>
      </c>
      <c r="M115" s="42" t="e">
        <f t="shared" si="17"/>
        <v>#VALUE!</v>
      </c>
    </row>
    <row r="116" spans="3:40" x14ac:dyDescent="0.3">
      <c r="C116" s="15" t="s">
        <v>17</v>
      </c>
      <c r="D116" s="84" t="s">
        <v>512</v>
      </c>
      <c r="E116" s="42" t="e">
        <f>IF((E$66/'Model homes'!E$21)/(E90-E$71)&lt;0,"-",(E$66/'Model homes'!E$21)/(E90-E$71))</f>
        <v>#VALUE!</v>
      </c>
      <c r="F116" s="42" t="e">
        <f>IF((F$66/'Model homes'!F$21)/(F90-F$71)&lt;0,"-",(F$66/'Model homes'!F$21)/(F90-F$71))</f>
        <v>#VALUE!</v>
      </c>
      <c r="G116" s="42" t="e">
        <f>IF((G$66/'Model homes'!G$21)/(G90-G$71)&lt;0,"-",(G$66/'Model homes'!G$21)/(G90-G$71))</f>
        <v>#VALUE!</v>
      </c>
      <c r="H116" s="42" t="e">
        <f>IF((H$66/'Model homes'!H$21)/(H90-H$71)&lt;0,"-",(H$66/'Model homes'!H$21)/(H90-H$71))</f>
        <v>#VALUE!</v>
      </c>
      <c r="J116" s="42" t="e">
        <f t="shared" si="17"/>
        <v>#VALUE!</v>
      </c>
      <c r="K116" s="42" t="e">
        <f t="shared" si="17"/>
        <v>#VALUE!</v>
      </c>
      <c r="L116" s="42" t="e">
        <f t="shared" si="17"/>
        <v>#VALUE!</v>
      </c>
      <c r="M116" s="42" t="e">
        <f t="shared" si="17"/>
        <v>#VALUE!</v>
      </c>
    </row>
    <row r="117" spans="3:40" x14ac:dyDescent="0.3">
      <c r="C117" s="15" t="s">
        <v>18</v>
      </c>
      <c r="D117" s="84" t="s">
        <v>512</v>
      </c>
      <c r="E117" s="42" t="e">
        <f>IF((E$66/'Model homes'!E$21)/(E91-E$71)&lt;0,"-",(E$66/'Model homes'!E$21)/(E91-E$71))</f>
        <v>#VALUE!</v>
      </c>
      <c r="F117" s="42" t="e">
        <f>IF((F$66/'Model homes'!F$21)/(F91-F$71)&lt;0,"-",(F$66/'Model homes'!F$21)/(F91-F$71))</f>
        <v>#VALUE!</v>
      </c>
      <c r="G117" s="42" t="e">
        <f>IF((G$66/'Model homes'!G$21)/(G91-G$71)&lt;0,"-",(G$66/'Model homes'!G$21)/(G91-G$71))</f>
        <v>#VALUE!</v>
      </c>
      <c r="H117" s="42" t="e">
        <f>IF((H$66/'Model homes'!H$21)/(H91-H$71)&lt;0,"-",(H$66/'Model homes'!H$21)/(H91-H$71))</f>
        <v>#VALUE!</v>
      </c>
      <c r="J117" s="42" t="e">
        <f t="shared" si="17"/>
        <v>#VALUE!</v>
      </c>
      <c r="K117" s="42" t="e">
        <f t="shared" si="17"/>
        <v>#VALUE!</v>
      </c>
      <c r="L117" s="42" t="e">
        <f t="shared" si="17"/>
        <v>#VALUE!</v>
      </c>
      <c r="M117" s="42" t="e">
        <f t="shared" si="17"/>
        <v>#VALUE!</v>
      </c>
    </row>
    <row r="118" spans="3:40" x14ac:dyDescent="0.3">
      <c r="C118" s="15" t="s">
        <v>19</v>
      </c>
      <c r="D118" s="84" t="s">
        <v>512</v>
      </c>
      <c r="E118" s="42" t="e">
        <f>IF((E$66/'Model homes'!E$21)/(E92-E$71)&lt;0,"-",(E$66/'Model homes'!E$21)/(E92-E$71))</f>
        <v>#VALUE!</v>
      </c>
      <c r="F118" s="42" t="e">
        <f>IF((F$66/'Model homes'!F$21)/(F92-F$71)&lt;0,"-",(F$66/'Model homes'!F$21)/(F92-F$71))</f>
        <v>#VALUE!</v>
      </c>
      <c r="G118" s="42" t="e">
        <f>IF((G$66/'Model homes'!G$21)/(G92-G$71)&lt;0,"-",(G$66/'Model homes'!G$21)/(G92-G$71))</f>
        <v>#VALUE!</v>
      </c>
      <c r="H118" s="42" t="e">
        <f>IF((H$66/'Model homes'!H$21)/(H92-H$71)&lt;0,"-",(H$66/'Model homes'!H$21)/(H92-H$71))</f>
        <v>#VALUE!</v>
      </c>
      <c r="J118" s="42" t="e">
        <f t="shared" si="17"/>
        <v>#VALUE!</v>
      </c>
      <c r="K118" s="42" t="e">
        <f t="shared" si="17"/>
        <v>#VALUE!</v>
      </c>
      <c r="L118" s="42" t="e">
        <f t="shared" si="17"/>
        <v>#VALUE!</v>
      </c>
      <c r="M118" s="42" t="e">
        <f t="shared" si="17"/>
        <v>#VALUE!</v>
      </c>
    </row>
    <row r="119" spans="3:40" ht="15.95" customHeight="1" x14ac:dyDescent="0.3">
      <c r="C119" s="14" t="s">
        <v>20</v>
      </c>
      <c r="D119" s="84" t="s">
        <v>512</v>
      </c>
      <c r="E119" s="42" t="e">
        <f>IF((E$66/'Model homes'!E$21)/(E93-E$71)&lt;0,"-",(E$66/'Model homes'!E$21)/(E93-E$71))</f>
        <v>#VALUE!</v>
      </c>
      <c r="F119" s="42" t="e">
        <f>IF((F$66/'Model homes'!F$21)/(F93-F$71)&lt;0,"-",(F$66/'Model homes'!F$21)/(F93-F$71))</f>
        <v>#VALUE!</v>
      </c>
      <c r="G119" s="42" t="e">
        <f>IF((G$66/'Model homes'!G$21)/(G93-G$71)&lt;0,"-",(G$66/'Model homes'!G$21)/(G93-G$71))</f>
        <v>#VALUE!</v>
      </c>
      <c r="H119" s="42" t="e">
        <f>IF((H$66/'Model homes'!H$21)/(H93-H$71)&lt;0,"-",(H$66/'Model homes'!H$21)/(H93-H$71))</f>
        <v>#VALUE!</v>
      </c>
      <c r="J119" s="42" t="e">
        <f t="shared" si="17"/>
        <v>#VALUE!</v>
      </c>
      <c r="K119" s="42" t="e">
        <f t="shared" si="17"/>
        <v>#VALUE!</v>
      </c>
      <c r="L119" s="42" t="e">
        <f t="shared" si="17"/>
        <v>#VALUE!</v>
      </c>
      <c r="M119" s="42" t="e">
        <f t="shared" si="17"/>
        <v>#VALUE!</v>
      </c>
    </row>
    <row r="120" spans="3:40" ht="15.95" customHeight="1" x14ac:dyDescent="0.3">
      <c r="C120" s="14" t="s">
        <v>21</v>
      </c>
      <c r="D120" s="84" t="s">
        <v>512</v>
      </c>
      <c r="E120" s="42"/>
      <c r="F120" s="42"/>
      <c r="G120" s="42"/>
      <c r="H120" s="42"/>
      <c r="J120" s="42"/>
      <c r="K120" s="42"/>
      <c r="L120" s="42"/>
      <c r="M120" s="42"/>
    </row>
    <row r="121" spans="3:40" x14ac:dyDescent="0.3">
      <c r="C121" s="14" t="s">
        <v>22</v>
      </c>
      <c r="D121" s="84" t="s">
        <v>512</v>
      </c>
      <c r="E121" s="42" t="e">
        <f>IF((E$66/'Model homes'!E$21)/(E95-E$71)&lt;0,"-",(E$66/'Model homes'!E$21)/(E95-E$71))</f>
        <v>#VALUE!</v>
      </c>
      <c r="F121" s="42" t="e">
        <f>IF((F$66/'Model homes'!F$21)/(F95-F$71)&lt;0,"-",(F$66/'Model homes'!F$21)/(F95-F$71))</f>
        <v>#VALUE!</v>
      </c>
      <c r="G121" s="42" t="e">
        <f>IF((G$66/'Model homes'!G$21)/(G95-G$71)&lt;0,"-",(G$66/'Model homes'!G$21)/(G95-G$71))</f>
        <v>#VALUE!</v>
      </c>
      <c r="H121" s="42" t="e">
        <f>IF((H$66/'Model homes'!H$21)/(H95-H$71)&lt;0,"-",(H$66/'Model homes'!H$21)/(H95-H$71))</f>
        <v>#VALUE!</v>
      </c>
      <c r="J121" s="42" t="e">
        <f t="shared" si="17"/>
        <v>#VALUE!</v>
      </c>
      <c r="K121" s="42" t="e">
        <f t="shared" si="17"/>
        <v>#VALUE!</v>
      </c>
      <c r="L121" s="42" t="e">
        <f t="shared" si="17"/>
        <v>#VALUE!</v>
      </c>
      <c r="M121" s="42" t="e">
        <f t="shared" si="17"/>
        <v>#VALUE!</v>
      </c>
    </row>
    <row r="123" spans="3:40" x14ac:dyDescent="0.3">
      <c r="C123" s="51" t="s">
        <v>522</v>
      </c>
      <c r="D123" s="84"/>
      <c r="E123" s="90"/>
      <c r="F123" s="90"/>
      <c r="G123" s="90"/>
      <c r="H123" s="90"/>
      <c r="J123" s="51" t="s">
        <v>523</v>
      </c>
      <c r="R123" s="51" t="s">
        <v>524</v>
      </c>
      <c r="Z123" s="51" t="s">
        <v>525</v>
      </c>
      <c r="AH123" s="51" t="s">
        <v>526</v>
      </c>
    </row>
    <row r="124" spans="3:40" ht="29.25" x14ac:dyDescent="0.3">
      <c r="C124" s="20" t="s">
        <v>14</v>
      </c>
      <c r="D124" s="84" t="s">
        <v>527</v>
      </c>
      <c r="E124" s="97" t="e">
        <f>E31*'Model homes'!$J110*10^-6</f>
        <v>#VALUE!</v>
      </c>
      <c r="F124" s="97" t="e">
        <f>F31*'Model homes'!$J110*10^-6</f>
        <v>#VALUE!</v>
      </c>
      <c r="G124" s="97" t="e">
        <f>G31*'Model homes'!$J110*10^-6</f>
        <v>#VALUE!</v>
      </c>
      <c r="H124" s="97" t="e">
        <f>H31*'Model homes'!$J110*10^-6</f>
        <v>#VALUE!</v>
      </c>
      <c r="J124" s="209" t="s">
        <v>14</v>
      </c>
      <c r="L124" s="207" t="s">
        <v>528</v>
      </c>
      <c r="M124" s="130" t="e">
        <f>'Model homes'!$E274*E31*10^-6</f>
        <v>#DIV/0!</v>
      </c>
      <c r="N124" s="130" t="e">
        <f>'Model homes'!$E274*F31*10^-6</f>
        <v>#DIV/0!</v>
      </c>
      <c r="O124" s="130" t="e">
        <f>'Model homes'!$E274*G31*10^-6</f>
        <v>#DIV/0!</v>
      </c>
      <c r="P124" s="130" t="e">
        <f>'Model homes'!$E274*H31*10^-6</f>
        <v>#DIV/0!</v>
      </c>
      <c r="R124" s="209" t="s">
        <v>14</v>
      </c>
      <c r="T124" s="207" t="s">
        <v>529</v>
      </c>
      <c r="U124" s="130" t="e">
        <f>'Model homes'!$F274*E31*10^-6</f>
        <v>#DIV/0!</v>
      </c>
      <c r="V124" s="130" t="e">
        <f>'Model homes'!$F274*F31*10^-6</f>
        <v>#DIV/0!</v>
      </c>
      <c r="W124" s="130" t="e">
        <f>'Model homes'!$F274*G31*10^-6</f>
        <v>#DIV/0!</v>
      </c>
      <c r="X124" s="130" t="e">
        <f>'Model homes'!$F274*H31*10^-6</f>
        <v>#DIV/0!</v>
      </c>
      <c r="Z124" s="209" t="s">
        <v>14</v>
      </c>
      <c r="AB124" s="207" t="s">
        <v>530</v>
      </c>
      <c r="AC124" s="130" t="e">
        <f>'Model homes'!$G274*E31*10^-6</f>
        <v>#DIV/0!</v>
      </c>
      <c r="AD124" s="130" t="e">
        <f>'Model homes'!$G274*F31*10^-6</f>
        <v>#DIV/0!</v>
      </c>
      <c r="AE124" s="130" t="e">
        <f>'Model homes'!$G274*G31*10^-6</f>
        <v>#DIV/0!</v>
      </c>
      <c r="AF124" s="130" t="e">
        <f>'Model homes'!$G274*H31*10^-6</f>
        <v>#DIV/0!</v>
      </c>
      <c r="AH124" s="209" t="s">
        <v>14</v>
      </c>
      <c r="AJ124" s="207" t="s">
        <v>531</v>
      </c>
      <c r="AK124" s="130" t="e">
        <f>'Model homes'!$H274*E31*10^-6</f>
        <v>#DIV/0!</v>
      </c>
      <c r="AL124" s="130" t="e">
        <f>'Model homes'!$H274*F31*10^-6</f>
        <v>#DIV/0!</v>
      </c>
      <c r="AM124" s="130" t="e">
        <f>'Model homes'!$H274*G31*10^-6</f>
        <v>#DIV/0!</v>
      </c>
      <c r="AN124" s="130" t="e">
        <f>'Model homes'!$H274*H31*10^-6</f>
        <v>#DIV/0!</v>
      </c>
    </row>
    <row r="125" spans="3:40" ht="29.25" x14ac:dyDescent="0.3">
      <c r="C125" s="14" t="s">
        <v>15</v>
      </c>
      <c r="D125" s="84" t="s">
        <v>527</v>
      </c>
      <c r="E125" s="97">
        <f>E32*'Model homes'!$J111*10^-6</f>
        <v>0</v>
      </c>
      <c r="F125" s="97">
        <f>F32*'Model homes'!$J111*10^-6</f>
        <v>0</v>
      </c>
      <c r="G125" s="97">
        <f>G32*'Model homes'!$J111*10^-6</f>
        <v>0</v>
      </c>
      <c r="H125" s="97">
        <f>H32*'Model homes'!$J111*10^-6</f>
        <v>0</v>
      </c>
      <c r="J125" s="213" t="s">
        <v>15</v>
      </c>
      <c r="L125" s="207" t="s">
        <v>528</v>
      </c>
      <c r="M125" s="130">
        <f>'Model homes'!$E275*E32*10^-6</f>
        <v>2.4743487015384611E-5</v>
      </c>
      <c r="N125" s="130">
        <f>'Model homes'!$E275*F32*10^-6</f>
        <v>7.4606033070378535E-6</v>
      </c>
      <c r="O125" s="130">
        <f>'Model homes'!$E275*G32*10^-6</f>
        <v>1.8624472341739574E-5</v>
      </c>
      <c r="P125" s="130">
        <f>'Model homes'!$E275*H32*10^-6</f>
        <v>7.8891439136623492E-6</v>
      </c>
      <c r="R125" s="213" t="s">
        <v>15</v>
      </c>
      <c r="T125" s="207" t="s">
        <v>529</v>
      </c>
      <c r="U125" s="130">
        <f>'Model homes'!$F275*E32*10^-6</f>
        <v>3.8352404873846145E-4</v>
      </c>
      <c r="V125" s="130">
        <f>'Model homes'!$F275*F32*10^-6</f>
        <v>1.1563935125908671E-4</v>
      </c>
      <c r="W125" s="130">
        <f>'Model homes'!$F275*G32*10^-6</f>
        <v>2.8867932129696339E-4</v>
      </c>
      <c r="X125" s="130">
        <f>'Model homes'!$F275*H32*10^-6</f>
        <v>1.2228173066176641E-4</v>
      </c>
      <c r="Z125" s="213" t="s">
        <v>15</v>
      </c>
      <c r="AB125" s="207" t="s">
        <v>530</v>
      </c>
      <c r="AC125" s="130">
        <f>'Model homes'!$G275*E32*10^-6</f>
        <v>8.6602204553846147E-5</v>
      </c>
      <c r="AD125" s="130">
        <f>'Model homes'!$G275*F32*10^-6</f>
        <v>2.6112111574632488E-5</v>
      </c>
      <c r="AE125" s="130">
        <f>'Model homes'!$G275*G32*10^-6</f>
        <v>6.518565319608852E-5</v>
      </c>
      <c r="AF125" s="130">
        <f>'Model homes'!$G275*H32*10^-6</f>
        <v>2.7612003697818221E-5</v>
      </c>
      <c r="AH125" s="213" t="s">
        <v>15</v>
      </c>
      <c r="AJ125" s="207" t="s">
        <v>531</v>
      </c>
      <c r="AK125" s="130">
        <f>'Model homes'!$H275*E32*10^-6</f>
        <v>1.2371743507692305E-5</v>
      </c>
      <c r="AL125" s="130">
        <f>'Model homes'!$H275*F32*10^-6</f>
        <v>3.7303016535189267E-6</v>
      </c>
      <c r="AM125" s="130">
        <f>'Model homes'!$H275*G32*10^-6</f>
        <v>9.3122361708697869E-6</v>
      </c>
      <c r="AN125" s="130">
        <f>'Model homes'!$H275*H32*10^-6</f>
        <v>3.9445719568311746E-6</v>
      </c>
    </row>
    <row r="126" spans="3:40" ht="29.25" x14ac:dyDescent="0.3">
      <c r="C126" s="15" t="s">
        <v>16</v>
      </c>
      <c r="D126" s="84" t="s">
        <v>527</v>
      </c>
      <c r="E126" s="97">
        <f>E33*'Model homes'!$J112*10^-6</f>
        <v>0</v>
      </c>
      <c r="F126" s="97">
        <f>F33*'Model homes'!$J112*10^-6</f>
        <v>0</v>
      </c>
      <c r="G126" s="97">
        <f>G33*'Model homes'!$J112*10^-6</f>
        <v>0</v>
      </c>
      <c r="H126" s="97">
        <f>H33*'Model homes'!$J112*10^-6</f>
        <v>0</v>
      </c>
      <c r="J126" s="210" t="s">
        <v>16</v>
      </c>
      <c r="L126" s="207" t="s">
        <v>528</v>
      </c>
      <c r="M126" s="130">
        <f>'Model homes'!$E276*E33*10^-6</f>
        <v>2.0104083199999993E-5</v>
      </c>
      <c r="N126" s="130">
        <f>'Model homes'!$E276*F33*10^-6</f>
        <v>6.2171694225315451E-6</v>
      </c>
      <c r="O126" s="130">
        <f>'Model homes'!$E276*G33*10^-6</f>
        <v>1.5217556669470141E-5</v>
      </c>
      <c r="P126" s="130">
        <f>'Model homes'!$E276*H33*10^-6</f>
        <v>6.5742865947186246E-6</v>
      </c>
      <c r="R126" s="210" t="s">
        <v>16</v>
      </c>
      <c r="T126" s="207" t="s">
        <v>529</v>
      </c>
      <c r="U126" s="130">
        <f>'Model homes'!$F276*E33*10^-6</f>
        <v>3.1161328959999988E-4</v>
      </c>
      <c r="V126" s="130">
        <f>'Model homes'!$F276*F33*10^-6</f>
        <v>9.6366126049238937E-5</v>
      </c>
      <c r="W126" s="130">
        <f>'Model homes'!$F276*G33*10^-6</f>
        <v>2.3587212837678715E-4</v>
      </c>
      <c r="X126" s="130">
        <f>'Model homes'!$F276*H33*10^-6</f>
        <v>1.0190144221813868E-4</v>
      </c>
      <c r="Z126" s="210" t="s">
        <v>16</v>
      </c>
      <c r="AB126" s="207" t="s">
        <v>530</v>
      </c>
      <c r="AC126" s="130">
        <f>'Model homes'!$G276*E33*10^-6</f>
        <v>7.0364291199999992E-5</v>
      </c>
      <c r="AD126" s="130">
        <f>'Model homes'!$G276*F33*10^-6</f>
        <v>2.1760092978860408E-5</v>
      </c>
      <c r="AE126" s="130">
        <f>'Model homes'!$G276*G33*10^-6</f>
        <v>5.3261448343145491E-5</v>
      </c>
      <c r="AF126" s="130">
        <f>'Model homes'!$G276*H33*10^-6</f>
        <v>2.3010003081515188E-5</v>
      </c>
      <c r="AH126" s="210" t="s">
        <v>16</v>
      </c>
      <c r="AJ126" s="207" t="s">
        <v>531</v>
      </c>
      <c r="AK126" s="130">
        <f>'Model homes'!$H276*E33*10^-6</f>
        <v>1.0052041599999996E-5</v>
      </c>
      <c r="AL126" s="130">
        <f>'Model homes'!$H276*F33*10^-6</f>
        <v>3.1085847112657726E-6</v>
      </c>
      <c r="AM126" s="130">
        <f>'Model homes'!$H276*G33*10^-6</f>
        <v>7.6087783347350707E-6</v>
      </c>
      <c r="AN126" s="130">
        <f>'Model homes'!$H276*H33*10^-6</f>
        <v>3.2871432973593123E-6</v>
      </c>
    </row>
    <row r="127" spans="3:40" ht="29.25" x14ac:dyDescent="0.3">
      <c r="C127" s="15" t="s">
        <v>17</v>
      </c>
      <c r="D127" s="84" t="s">
        <v>527</v>
      </c>
      <c r="E127" s="97">
        <f>E34*'Model homes'!$J113*10^-6</f>
        <v>0.46319807692799997</v>
      </c>
      <c r="F127" s="97">
        <f>F34*'Model homes'!$J113*10^-6</f>
        <v>0.13966249390774862</v>
      </c>
      <c r="G127" s="97">
        <f>G34*'Model homes'!$J113*10^-6</f>
        <v>0.35937781830620691</v>
      </c>
      <c r="H127" s="97">
        <f>H34*'Model homes'!$J113*10^-6</f>
        <v>0.14768477406375918</v>
      </c>
      <c r="J127" s="210" t="s">
        <v>17</v>
      </c>
      <c r="L127" s="207" t="s">
        <v>528</v>
      </c>
      <c r="M127" s="130">
        <f>'Model homes'!$E277*E34*10^-6</f>
        <v>2.3506312664615381E-4</v>
      </c>
      <c r="N127" s="130">
        <f>'Model homes'!$E277*F34*10^-6</f>
        <v>7.0875731416859602E-5</v>
      </c>
      <c r="O127" s="130">
        <f>'Model homes'!$E277*G34*10^-6</f>
        <v>1.8237656377718828E-4</v>
      </c>
      <c r="P127" s="130">
        <f>'Model homes'!$E277*H34*10^-6</f>
        <v>7.4946867179792313E-5</v>
      </c>
      <c r="R127" s="210" t="s">
        <v>17</v>
      </c>
      <c r="T127" s="207" t="s">
        <v>529</v>
      </c>
      <c r="U127" s="130">
        <f>'Model homes'!$F277*E34*10^-6</f>
        <v>3.4640881821538459E-4</v>
      </c>
      <c r="V127" s="130">
        <f>'Model homes'!$F277*F34*10^-6</f>
        <v>1.0444844629852995E-4</v>
      </c>
      <c r="W127" s="130">
        <f>'Model homes'!$F277*G34*10^-6</f>
        <v>2.6876546240848804E-4</v>
      </c>
      <c r="X127" s="130">
        <f>'Model homes'!$F277*H34*10^-6</f>
        <v>1.1044801479127289E-4</v>
      </c>
      <c r="Z127" s="210" t="s">
        <v>17</v>
      </c>
      <c r="AB127" s="207" t="s">
        <v>530</v>
      </c>
      <c r="AC127" s="130">
        <f>'Model homes'!$G277*E34*10^-6</f>
        <v>1.2371743507692305E-5</v>
      </c>
      <c r="AD127" s="130">
        <f>'Model homes'!$G277*F34*10^-6</f>
        <v>3.7303016535189267E-6</v>
      </c>
      <c r="AE127" s="130">
        <f>'Model homes'!$G277*G34*10^-6</f>
        <v>9.5987665145888571E-6</v>
      </c>
      <c r="AF127" s="130">
        <f>'Model homes'!$G277*H34*10^-6</f>
        <v>3.9445719568311746E-6</v>
      </c>
      <c r="AH127" s="210" t="s">
        <v>17</v>
      </c>
      <c r="AJ127" s="207" t="s">
        <v>531</v>
      </c>
      <c r="AK127" s="130">
        <f>'Model homes'!$H277*E34*10^-6</f>
        <v>1.2371743507692305E-5</v>
      </c>
      <c r="AL127" s="130">
        <f>'Model homes'!$H277*F34*10^-6</f>
        <v>3.7303016535189267E-6</v>
      </c>
      <c r="AM127" s="130">
        <f>'Model homes'!$H277*G34*10^-6</f>
        <v>9.5987665145888571E-6</v>
      </c>
      <c r="AN127" s="130">
        <f>'Model homes'!$H277*H34*10^-6</f>
        <v>3.9445719568311746E-6</v>
      </c>
    </row>
    <row r="128" spans="3:40" ht="29.25" x14ac:dyDescent="0.3">
      <c r="C128" s="15" t="s">
        <v>18</v>
      </c>
      <c r="D128" s="84" t="s">
        <v>527</v>
      </c>
      <c r="E128" s="97">
        <f>E35*'Model homes'!$J114*10^-6</f>
        <v>0.23159903846399996</v>
      </c>
      <c r="F128" s="97">
        <f>F35*'Model homes'!$J114*10^-6</f>
        <v>7.0779182432886167E-2</v>
      </c>
      <c r="G128" s="97">
        <f>G35*'Model homes'!$J114*10^-6</f>
        <v>0.17968890915310343</v>
      </c>
      <c r="H128" s="97">
        <f>H35*'Model homes'!$J114*10^-6</f>
        <v>7.4844772376203753E-2</v>
      </c>
      <c r="J128" s="210" t="s">
        <v>18</v>
      </c>
      <c r="L128" s="207" t="s">
        <v>528</v>
      </c>
      <c r="M128" s="130">
        <f>'Model homes'!$E278*E35*10^-6</f>
        <v>1.8093674879999993E-4</v>
      </c>
      <c r="N128" s="130">
        <f>'Model homes'!$E278*F35*10^-6</f>
        <v>5.529623627569231E-5</v>
      </c>
      <c r="O128" s="130">
        <f>'Model homes'!$E278*G35*10^-6</f>
        <v>1.4038196027586202E-4</v>
      </c>
      <c r="P128" s="130">
        <f>'Model homes'!$E278*H35*10^-6</f>
        <v>5.8472478418909176E-5</v>
      </c>
      <c r="R128" s="210" t="s">
        <v>18</v>
      </c>
      <c r="T128" s="207" t="s">
        <v>529</v>
      </c>
      <c r="U128" s="130">
        <f>'Model homes'!$F278*E35*10^-6</f>
        <v>7.0364291199999981E-4</v>
      </c>
      <c r="V128" s="130">
        <f>'Model homes'!$F278*F35*10^-6</f>
        <v>2.1504091884991456E-4</v>
      </c>
      <c r="W128" s="130">
        <f>'Model homes'!$F278*G35*10^-6</f>
        <v>5.4592984551724119E-4</v>
      </c>
      <c r="X128" s="130">
        <f>'Model homes'!$F278*H35*10^-6</f>
        <v>2.2739297162909121E-4</v>
      </c>
      <c r="Z128" s="210" t="s">
        <v>18</v>
      </c>
      <c r="AB128" s="207" t="s">
        <v>530</v>
      </c>
      <c r="AC128" s="130">
        <f>'Model homes'!$G278*E35*10^-6</f>
        <v>1.0052041599999996E-5</v>
      </c>
      <c r="AD128" s="130">
        <f>'Model homes'!$G278*F35*10^-6</f>
        <v>3.0720131264273509E-6</v>
      </c>
      <c r="AE128" s="130">
        <f>'Model homes'!$G278*G35*10^-6</f>
        <v>7.7989977931034466E-6</v>
      </c>
      <c r="AF128" s="130">
        <f>'Model homes'!$G278*H35*10^-6</f>
        <v>3.2484710232727318E-6</v>
      </c>
      <c r="AH128" s="210" t="s">
        <v>18</v>
      </c>
      <c r="AJ128" s="207" t="s">
        <v>531</v>
      </c>
      <c r="AK128" s="130">
        <f>'Model homes'!$H278*E35*10^-6</f>
        <v>1.0052041599999996E-5</v>
      </c>
      <c r="AL128" s="130">
        <f>'Model homes'!$H278*F35*10^-6</f>
        <v>3.0720131264273509E-6</v>
      </c>
      <c r="AM128" s="130">
        <f>'Model homes'!$H278*G35*10^-6</f>
        <v>7.7989977931034466E-6</v>
      </c>
      <c r="AN128" s="130">
        <f>'Model homes'!$H278*H35*10^-6</f>
        <v>3.2484710232727318E-6</v>
      </c>
    </row>
    <row r="129" spans="3:40" ht="29.25" x14ac:dyDescent="0.3">
      <c r="C129" s="15" t="s">
        <v>19</v>
      </c>
      <c r="D129" s="84" t="s">
        <v>527</v>
      </c>
      <c r="E129" s="97">
        <f>E36*'Model homes'!$J115*10^-6</f>
        <v>0.28226132812799998</v>
      </c>
      <c r="F129" s="97">
        <f>F36*'Model homes'!$J115*10^-6</f>
        <v>8.5259080583218627E-2</v>
      </c>
      <c r="G129" s="97">
        <f>G36*'Model homes'!$J115*10^-6</f>
        <v>0.2189958580303448</v>
      </c>
      <c r="H129" s="97">
        <f>H36*'Model homes'!$J115*10^-6</f>
        <v>9.0156402771480904E-2</v>
      </c>
      <c r="J129" s="210" t="s">
        <v>19</v>
      </c>
      <c r="L129" s="207" t="s">
        <v>528</v>
      </c>
      <c r="M129" s="130">
        <f>'Model homes'!$E279*E36*10^-6</f>
        <v>1.8093674879999993E-4</v>
      </c>
      <c r="N129" s="130">
        <f>'Model homes'!$E279*F36*10^-6</f>
        <v>5.4653256784114493E-5</v>
      </c>
      <c r="O129" s="130">
        <f>'Model homes'!$E279*G36*10^-6</f>
        <v>1.4038196027586202E-4</v>
      </c>
      <c r="P129" s="130">
        <f>'Model homes'!$E279*H36*10^-6</f>
        <v>5.7792565879154412E-5</v>
      </c>
      <c r="R129" s="210" t="s">
        <v>19</v>
      </c>
      <c r="T129" s="207" t="s">
        <v>529</v>
      </c>
      <c r="U129" s="130">
        <f>'Model homes'!$F279*E36*10^-6</f>
        <v>7.0364291199999981E-4</v>
      </c>
      <c r="V129" s="130">
        <f>'Model homes'!$F279*F36*10^-6</f>
        <v>2.1254044304933414E-4</v>
      </c>
      <c r="W129" s="130">
        <f>'Model homes'!$F279*G36*10^-6</f>
        <v>5.4592984551724119E-4</v>
      </c>
      <c r="X129" s="130">
        <f>'Model homes'!$F279*H36*10^-6</f>
        <v>2.2474886730782271E-4</v>
      </c>
      <c r="Z129" s="210" t="s">
        <v>19</v>
      </c>
      <c r="AB129" s="207" t="s">
        <v>530</v>
      </c>
      <c r="AC129" s="130">
        <f>'Model homes'!$G279*E36*10^-6</f>
        <v>1.0052041599999996E-5</v>
      </c>
      <c r="AD129" s="130">
        <f>'Model homes'!$G279*F36*10^-6</f>
        <v>3.0362920435619167E-6</v>
      </c>
      <c r="AE129" s="130">
        <f>'Model homes'!$G279*G36*10^-6</f>
        <v>7.7989977931034466E-6</v>
      </c>
      <c r="AF129" s="130">
        <f>'Model homes'!$G279*H36*10^-6</f>
        <v>3.2106981043974676E-6</v>
      </c>
      <c r="AH129" s="210" t="s">
        <v>19</v>
      </c>
      <c r="AJ129" s="207" t="s">
        <v>531</v>
      </c>
      <c r="AK129" s="130">
        <f>'Model homes'!$H279*E36*10^-6</f>
        <v>1.0052041599999996E-5</v>
      </c>
      <c r="AL129" s="130">
        <f>'Model homes'!$H279*F36*10^-6</f>
        <v>3.0362920435619167E-6</v>
      </c>
      <c r="AM129" s="130">
        <f>'Model homes'!$H279*G36*10^-6</f>
        <v>7.7989977931034466E-6</v>
      </c>
      <c r="AN129" s="130">
        <f>'Model homes'!$H279*H36*10^-6</f>
        <v>3.2106981043974676E-6</v>
      </c>
    </row>
    <row r="130" spans="3:40" ht="29.25" x14ac:dyDescent="0.3">
      <c r="C130" s="14" t="s">
        <v>20</v>
      </c>
      <c r="D130" s="84" t="s">
        <v>527</v>
      </c>
      <c r="E130" s="97">
        <f>E37*'Model homes'!$J116*10^-6</f>
        <v>0.18936627262644701</v>
      </c>
      <c r="F130" s="97">
        <f>F37*'Model homes'!$J116*10^-6</f>
        <v>6.0075864974464807E-2</v>
      </c>
      <c r="G130" s="97">
        <f>G37*'Model homes'!$J116*10^-6</f>
        <v>0.14354458834644468</v>
      </c>
      <c r="H130" s="97">
        <f>H37*'Model homes'!$J116*10^-6</f>
        <v>6.3526651266152825E-2</v>
      </c>
      <c r="J130" s="213" t="s">
        <v>20</v>
      </c>
      <c r="L130" s="207" t="s">
        <v>528</v>
      </c>
      <c r="M130" s="130">
        <f>'Model homes'!$E280*E37*10^-6</f>
        <v>0</v>
      </c>
      <c r="N130" s="130">
        <f>'Model homes'!$E280*F37*10^-6</f>
        <v>0</v>
      </c>
      <c r="O130" s="130">
        <f>'Model homes'!$E280*G37*10^-6</f>
        <v>0</v>
      </c>
      <c r="P130" s="130">
        <f>'Model homes'!$E280*H37*10^-6</f>
        <v>0</v>
      </c>
      <c r="R130" s="213" t="s">
        <v>20</v>
      </c>
      <c r="T130" s="207" t="s">
        <v>529</v>
      </c>
      <c r="U130" s="130">
        <f>'Model homes'!$F280*E37*10^-6</f>
        <v>1.2298968545882352E-4</v>
      </c>
      <c r="V130" s="130">
        <f>'Model homes'!$F280*F37*10^-6</f>
        <v>3.9018097755197971E-5</v>
      </c>
      <c r="W130" s="130">
        <f>'Model homes'!$F280*G37*10^-6</f>
        <v>9.3229398906064185E-5</v>
      </c>
      <c r="X130" s="130">
        <f>'Model homes'!$F280*H37*10^-6</f>
        <v>4.1259315870303091E-5</v>
      </c>
      <c r="Z130" s="213" t="s">
        <v>20</v>
      </c>
      <c r="AB130" s="207" t="s">
        <v>530</v>
      </c>
      <c r="AC130" s="130">
        <f>'Model homes'!$G280*E37*10^-6</f>
        <v>0</v>
      </c>
      <c r="AD130" s="130">
        <f>'Model homes'!$G280*F37*10^-6</f>
        <v>0</v>
      </c>
      <c r="AE130" s="130">
        <f>'Model homes'!$G280*G37*10^-6</f>
        <v>0</v>
      </c>
      <c r="AF130" s="130">
        <f>'Model homes'!$G280*H37*10^-6</f>
        <v>0</v>
      </c>
      <c r="AH130" s="213" t="s">
        <v>20</v>
      </c>
      <c r="AJ130" s="207" t="s">
        <v>531</v>
      </c>
      <c r="AK130" s="130">
        <f>'Model homes'!$H280*E37*10^-6</f>
        <v>0</v>
      </c>
      <c r="AL130" s="130">
        <f>'Model homes'!$H280*F37*10^-6</f>
        <v>0</v>
      </c>
      <c r="AM130" s="130">
        <f>'Model homes'!$H280*G37*10^-6</f>
        <v>0</v>
      </c>
      <c r="AN130" s="130">
        <f>'Model homes'!$H280*H37*10^-6</f>
        <v>0</v>
      </c>
    </row>
    <row r="131" spans="3:40" ht="29.25" x14ac:dyDescent="0.3">
      <c r="C131" s="14" t="s">
        <v>21</v>
      </c>
      <c r="D131" s="84" t="s">
        <v>527</v>
      </c>
      <c r="E131" s="97"/>
      <c r="F131" s="97"/>
      <c r="G131" s="97"/>
      <c r="H131" s="97"/>
      <c r="J131" s="213" t="s">
        <v>21</v>
      </c>
      <c r="L131" s="207" t="s">
        <v>528</v>
      </c>
      <c r="M131" s="130"/>
      <c r="N131" s="130"/>
      <c r="O131" s="130"/>
      <c r="P131" s="130"/>
      <c r="R131" s="213" t="s">
        <v>21</v>
      </c>
      <c r="T131" s="207" t="s">
        <v>529</v>
      </c>
      <c r="U131" s="130"/>
      <c r="V131" s="130"/>
      <c r="W131" s="130"/>
      <c r="X131" s="130"/>
      <c r="Z131" s="213" t="s">
        <v>21</v>
      </c>
      <c r="AB131" s="207" t="s">
        <v>530</v>
      </c>
      <c r="AC131" s="130"/>
      <c r="AD131" s="130"/>
      <c r="AE131" s="130"/>
      <c r="AF131" s="130"/>
      <c r="AH131" s="213" t="s">
        <v>21</v>
      </c>
      <c r="AJ131" s="207" t="s">
        <v>531</v>
      </c>
      <c r="AK131" s="130"/>
      <c r="AL131" s="130"/>
      <c r="AM131" s="130"/>
      <c r="AN131" s="130"/>
    </row>
    <row r="132" spans="3:40" ht="29.25" x14ac:dyDescent="0.3">
      <c r="C132" s="14" t="s">
        <v>22</v>
      </c>
      <c r="D132" s="84" t="s">
        <v>527</v>
      </c>
      <c r="E132" s="97" t="e">
        <f>E39*'Model homes'!$J118*10^-6</f>
        <v>#N/A</v>
      </c>
      <c r="F132" s="97" t="e">
        <f>F39*'Model homes'!$J118*10^-6</f>
        <v>#N/A</v>
      </c>
      <c r="G132" s="97" t="e">
        <f>G39*'Model homes'!$J118*10^-6</f>
        <v>#N/A</v>
      </c>
      <c r="H132" s="97" t="e">
        <f>H39*'Model homes'!$J118*10^-6</f>
        <v>#N/A</v>
      </c>
      <c r="J132" s="213" t="s">
        <v>22</v>
      </c>
      <c r="L132" s="207" t="s">
        <v>528</v>
      </c>
      <c r="M132" s="130" t="e">
        <f>'Model homes'!$E282*E39*10^-6</f>
        <v>#DIV/0!</v>
      </c>
      <c r="N132" s="130" t="e">
        <f>'Model homes'!$E282*F39*10^-6</f>
        <v>#DIV/0!</v>
      </c>
      <c r="O132" s="130" t="e">
        <f>'Model homes'!$E282*G39*10^-6</f>
        <v>#DIV/0!</v>
      </c>
      <c r="P132" s="130" t="e">
        <f>'Model homes'!$E282*H39*10^-6</f>
        <v>#DIV/0!</v>
      </c>
      <c r="R132" s="213" t="s">
        <v>22</v>
      </c>
      <c r="T132" s="207" t="s">
        <v>529</v>
      </c>
      <c r="U132" s="130" t="e">
        <f>'Model homes'!$F282*E39*10^-6</f>
        <v>#DIV/0!</v>
      </c>
      <c r="V132" s="130" t="e">
        <f>'Model homes'!$F282*F39*10^-6</f>
        <v>#DIV/0!</v>
      </c>
      <c r="W132" s="130" t="e">
        <f>'Model homes'!$F282*G39*10^-6</f>
        <v>#DIV/0!</v>
      </c>
      <c r="X132" s="130" t="e">
        <f>'Model homes'!$F282*H39*10^-6</f>
        <v>#DIV/0!</v>
      </c>
      <c r="Z132" s="213" t="s">
        <v>22</v>
      </c>
      <c r="AB132" s="207" t="s">
        <v>530</v>
      </c>
      <c r="AC132" s="130" t="e">
        <f>'Model homes'!$G282*E39*10^-6</f>
        <v>#DIV/0!</v>
      </c>
      <c r="AD132" s="130" t="e">
        <f>'Model homes'!$G282*F39*10^-6</f>
        <v>#DIV/0!</v>
      </c>
      <c r="AE132" s="130" t="e">
        <f>'Model homes'!$G282*G39*10^-6</f>
        <v>#DIV/0!</v>
      </c>
      <c r="AF132" s="130" t="e">
        <f>'Model homes'!$G282*H39*10^-6</f>
        <v>#DIV/0!</v>
      </c>
      <c r="AH132" s="213" t="s">
        <v>22</v>
      </c>
      <c r="AJ132" s="207" t="s">
        <v>531</v>
      </c>
      <c r="AK132" s="130" t="e">
        <f>'Model homes'!$H282*E39*10^-6</f>
        <v>#DIV/0!</v>
      </c>
      <c r="AL132" s="130" t="e">
        <f>'Model homes'!$H282*F39*10^-6</f>
        <v>#DIV/0!</v>
      </c>
      <c r="AM132" s="130" t="e">
        <f>'Model homes'!$H282*G39*10^-6</f>
        <v>#DIV/0!</v>
      </c>
      <c r="AN132" s="130" t="e">
        <f>'Model homes'!$H282*H39*10^-6</f>
        <v>#DIV/0!</v>
      </c>
    </row>
    <row r="133" spans="3:40" x14ac:dyDescent="0.3">
      <c r="J133" s="26"/>
      <c r="L133" s="207"/>
      <c r="R133" s="26"/>
      <c r="T133" s="207"/>
      <c r="Z133" s="26"/>
      <c r="AB133" s="207"/>
      <c r="AH133" s="26"/>
      <c r="AJ133" s="207"/>
    </row>
    <row r="134" spans="3:40" x14ac:dyDescent="0.3">
      <c r="C134" s="51" t="s">
        <v>313</v>
      </c>
      <c r="E134" s="106"/>
      <c r="J134" s="51" t="s">
        <v>532</v>
      </c>
      <c r="R134" s="51" t="s">
        <v>533</v>
      </c>
      <c r="Z134" s="51" t="s">
        <v>534</v>
      </c>
      <c r="AH134" s="51" t="s">
        <v>535</v>
      </c>
    </row>
    <row r="135" spans="3:40" x14ac:dyDescent="0.3">
      <c r="C135" s="20" t="s">
        <v>14</v>
      </c>
      <c r="D135" s="84" t="s">
        <v>536</v>
      </c>
      <c r="E135" s="42" t="e">
        <f>LOOKUP(E$73,'Model homes'!$C$203:$C$227,'Model homes'!$F$203:$F$227)*E124</f>
        <v>#VALUE!</v>
      </c>
      <c r="F135" s="42" t="e">
        <f>LOOKUP(F$73,'Model homes'!$C$203:$C$227,'Model homes'!$F$203:$F$227)*F124</f>
        <v>#VALUE!</v>
      </c>
      <c r="G135" s="42" t="e">
        <f>LOOKUP(G$73,'Model homes'!$C$203:$C$227,'Model homes'!$F$203:$F$227)*G124</f>
        <v>#VALUE!</v>
      </c>
      <c r="H135" s="42" t="e">
        <f>LOOKUP(H$73,'Model homes'!$C$203:$C$227,'Model homes'!$F$203:$F$227)*H124</f>
        <v>#VALUE!</v>
      </c>
      <c r="J135" s="209" t="s">
        <v>14</v>
      </c>
      <c r="L135" s="207" t="s">
        <v>536</v>
      </c>
      <c r="M135" s="159" t="e">
        <f>LOOKUP(E$73,'Model homes'!$C$351:$C$375,'Model homes'!$E$351:$E$375)*M124</f>
        <v>#DIV/0!</v>
      </c>
      <c r="N135" s="159" t="e">
        <f>LOOKUP(F$73,'Model homes'!$C$351:$C$375,'Model homes'!$E$351:$E$375)*N124</f>
        <v>#DIV/0!</v>
      </c>
      <c r="O135" s="159" t="e">
        <f>LOOKUP(G$73,'Model homes'!$C$351:$C$375,'Model homes'!$E$351:$E$375)*O124</f>
        <v>#DIV/0!</v>
      </c>
      <c r="P135" s="159" t="e">
        <f>LOOKUP(H$73,'Model homes'!$C$351:$C$375,'Model homes'!$E$351:$E$375)*P124</f>
        <v>#DIV/0!</v>
      </c>
      <c r="R135" s="209" t="s">
        <v>14</v>
      </c>
      <c r="T135" s="207" t="s">
        <v>536</v>
      </c>
      <c r="U135" s="159" t="e">
        <f>LOOKUP(E$73,'Model homes'!$C$351:$C$375,'Model homes'!$F$351:$F$375)*U124</f>
        <v>#DIV/0!</v>
      </c>
      <c r="V135" s="159" t="e">
        <f>LOOKUP(F$73,'Model homes'!$C$351:$C$375,'Model homes'!$F$351:$F$375)*V124</f>
        <v>#DIV/0!</v>
      </c>
      <c r="W135" s="159" t="e">
        <f>LOOKUP(G$73,'Model homes'!$C$351:$C$375,'Model homes'!$F$351:$F$375)*W124</f>
        <v>#DIV/0!</v>
      </c>
      <c r="X135" s="159" t="e">
        <f>LOOKUP(H$73,'Model homes'!$C$351:$C$375,'Model homes'!$F$351:$F$375)*X124</f>
        <v>#DIV/0!</v>
      </c>
      <c r="Z135" s="209" t="s">
        <v>14</v>
      </c>
      <c r="AB135" s="207" t="s">
        <v>536</v>
      </c>
      <c r="AC135" s="159" t="e">
        <f>LOOKUP(E$73,'Model homes'!$C$351:$C$375,'Model homes'!$G$351:$G$375)*AC124</f>
        <v>#DIV/0!</v>
      </c>
      <c r="AD135" s="159" t="e">
        <f>LOOKUP(F$73,'Model homes'!$C$351:$C$375,'Model homes'!$G$351:$G$375)*AD124</f>
        <v>#DIV/0!</v>
      </c>
      <c r="AE135" s="159" t="e">
        <f>LOOKUP(G$73,'Model homes'!$C$351:$C$375,'Model homes'!$G$351:$G$375)*AE124</f>
        <v>#DIV/0!</v>
      </c>
      <c r="AF135" s="159" t="e">
        <f>LOOKUP(H$73,'Model homes'!$C$351:$C$375,'Model homes'!$G$351:$G$375)*AF124</f>
        <v>#DIV/0!</v>
      </c>
      <c r="AH135" s="209" t="s">
        <v>14</v>
      </c>
      <c r="AJ135" s="207" t="s">
        <v>536</v>
      </c>
      <c r="AK135" s="159" t="e">
        <f>LOOKUP(E$73,'Model homes'!$C$351:$C$375,'Model homes'!$H$351:$H$375)*AK124</f>
        <v>#DIV/0!</v>
      </c>
      <c r="AL135" s="159" t="e">
        <f>LOOKUP(F$73,'Model homes'!$C$351:$C$375,'Model homes'!$H$351:$H$375)*AL124</f>
        <v>#DIV/0!</v>
      </c>
      <c r="AM135" s="159" t="e">
        <f>LOOKUP(G$73,'Model homes'!$C$351:$C$375,'Model homes'!$H$351:$H$375)*AM124</f>
        <v>#DIV/0!</v>
      </c>
      <c r="AN135" s="159" t="e">
        <f>LOOKUP(H$73,'Model homes'!$C$351:$C$375,'Model homes'!$H$351:$H$375)*AN124</f>
        <v>#DIV/0!</v>
      </c>
    </row>
    <row r="136" spans="3:40" x14ac:dyDescent="0.3">
      <c r="C136" s="14" t="s">
        <v>15</v>
      </c>
      <c r="D136" s="84" t="s">
        <v>536</v>
      </c>
      <c r="E136" s="42">
        <f>LOOKUP(E$73,'Model homes'!$C$203:$C$227,'Model homes'!$F$203:$F$227)*E125</f>
        <v>0</v>
      </c>
      <c r="F136" s="42">
        <f>LOOKUP(F$73,'Model homes'!$C$203:$C$227,'Model homes'!$F$203:$F$227)*F125</f>
        <v>0</v>
      </c>
      <c r="G136" s="42">
        <f>LOOKUP(G$73,'Model homes'!$C$203:$C$227,'Model homes'!$F$203:$F$227)*G125</f>
        <v>0</v>
      </c>
      <c r="H136" s="42">
        <f>LOOKUP(H$73,'Model homes'!$C$203:$C$227,'Model homes'!$F$203:$F$227)*H125</f>
        <v>0</v>
      </c>
      <c r="J136" s="213" t="s">
        <v>15</v>
      </c>
      <c r="L136" s="207" t="s">
        <v>536</v>
      </c>
      <c r="M136" s="42">
        <f>LOOKUP(E$73,'Model homes'!$C$351:$C$375,'Model homes'!$E$351:$E$375)*M125</f>
        <v>0.43320502693354163</v>
      </c>
      <c r="N136" s="42">
        <f>LOOKUP(F$73,'Model homes'!$C$351:$C$375,'Model homes'!$E$351:$E$375)*N125</f>
        <v>0.13061905359403386</v>
      </c>
      <c r="O136" s="42">
        <f>LOOKUP(G$73,'Model homes'!$C$351:$C$375,'Model homes'!$E$351:$E$375)*O125</f>
        <v>0.32607429330432558</v>
      </c>
      <c r="P136" s="42">
        <f>LOOKUP(H$73,'Model homes'!$C$351:$C$375,'Model homes'!$E$351:$E$375)*P125</f>
        <v>0.13812187423202449</v>
      </c>
      <c r="R136" s="213" t="s">
        <v>15</v>
      </c>
      <c r="T136" s="207" t="s">
        <v>536</v>
      </c>
      <c r="U136" s="42">
        <f>LOOKUP(E$73,'Model homes'!$C$351:$C$375,'Model homes'!$F$351:$F$375)*U125</f>
        <v>5.8687408933869731</v>
      </c>
      <c r="V136" s="42">
        <f>LOOKUP(F$73,'Model homes'!$C$351:$C$375,'Model homes'!$F$351:$F$375)*V125</f>
        <v>1.7695302076917292</v>
      </c>
      <c r="W136" s="42">
        <f>LOOKUP(G$73,'Model homes'!$C$351:$C$375,'Model homes'!$F$351:$F$375)*W125</f>
        <v>4.4174130502205085</v>
      </c>
      <c r="X136" s="42">
        <f>LOOKUP(H$73,'Model homes'!$C$351:$C$375,'Model homes'!$F$351:$F$375)*X125</f>
        <v>1.8711728654549744</v>
      </c>
      <c r="Z136" s="213" t="s">
        <v>15</v>
      </c>
      <c r="AB136" s="207" t="s">
        <v>536</v>
      </c>
      <c r="AC136" s="42">
        <f>LOOKUP(E$73,'Model homes'!$C$351:$C$375,'Model homes'!$G$351:$G$375)*AC125</f>
        <v>2.6384635351026979</v>
      </c>
      <c r="AD136" s="42">
        <f>LOOKUP(F$73,'Model homes'!$C$351:$C$375,'Model homes'!$G$351:$G$375)*AD125</f>
        <v>0.79554388446732827</v>
      </c>
      <c r="AE136" s="42">
        <f>LOOKUP(G$73,'Model homes'!$C$351:$C$375,'Model homes'!$G$351:$G$375)*AE125</f>
        <v>1.9859767988099311</v>
      </c>
      <c r="AF136" s="42">
        <f>LOOKUP(H$73,'Model homes'!$C$351:$C$375,'Model homes'!$G$351:$G$375)*AF125</f>
        <v>0.84124030402155281</v>
      </c>
      <c r="AH136" s="213" t="s">
        <v>15</v>
      </c>
      <c r="AJ136" s="207" t="s">
        <v>536</v>
      </c>
      <c r="AK136" s="42">
        <f>LOOKUP(E$73,'Model homes'!$C$351:$C$375,'Model homes'!$H$351:$H$375)*AK125</f>
        <v>2.0466059918550404E-2</v>
      </c>
      <c r="AL136" s="42">
        <f>LOOKUP(F$73,'Model homes'!$C$351:$C$375,'Model homes'!$H$351:$H$375)*AL125</f>
        <v>6.1708826332939806E-3</v>
      </c>
      <c r="AM136" s="42">
        <f>LOOKUP(G$73,'Model homes'!$C$351:$C$375,'Model homes'!$H$351:$H$375)*AM125</f>
        <v>1.5404844380277902E-2</v>
      </c>
      <c r="AN136" s="42">
        <f>LOOKUP(H$73,'Model homes'!$C$351:$C$375,'Model homes'!$H$351:$H$375)*AN125</f>
        <v>6.5253410702659264E-3</v>
      </c>
    </row>
    <row r="137" spans="3:40" x14ac:dyDescent="0.3">
      <c r="C137" s="15" t="s">
        <v>16</v>
      </c>
      <c r="D137" s="84" t="s">
        <v>536</v>
      </c>
      <c r="E137" s="42">
        <f>LOOKUP(E$73,'Model homes'!$C$203:$C$227,'Model homes'!$F$203:$F$227)*E126</f>
        <v>0</v>
      </c>
      <c r="F137" s="42">
        <f>LOOKUP(F$73,'Model homes'!$C$203:$C$227,'Model homes'!$F$203:$F$227)*F126</f>
        <v>0</v>
      </c>
      <c r="G137" s="42">
        <f>LOOKUP(G$73,'Model homes'!$C$203:$C$227,'Model homes'!$F$203:$F$227)*G126</f>
        <v>0</v>
      </c>
      <c r="H137" s="42">
        <f>LOOKUP(H$73,'Model homes'!$C$203:$C$227,'Model homes'!$F$203:$F$227)*H126</f>
        <v>0</v>
      </c>
      <c r="J137" s="210" t="s">
        <v>16</v>
      </c>
      <c r="L137" s="207" t="s">
        <v>536</v>
      </c>
      <c r="M137" s="42">
        <f>LOOKUP(E$73,'Model homes'!$C$351:$C$375,'Model homes'!$E$351:$E$375)*M126</f>
        <v>0.35197908438350251</v>
      </c>
      <c r="N137" s="42">
        <f>LOOKUP(F$73,'Model homes'!$C$351:$C$375,'Model homes'!$E$351:$E$375)*N126</f>
        <v>0.10884921132836155</v>
      </c>
      <c r="O137" s="42">
        <f>LOOKUP(G$73,'Model homes'!$C$351:$C$375,'Model homes'!$E$351:$E$375)*O126</f>
        <v>0.26642655672426607</v>
      </c>
      <c r="P137" s="42">
        <f>LOOKUP(H$73,'Model homes'!$C$351:$C$375,'Model homes'!$E$351:$E$375)*P126</f>
        <v>0.11510156186002041</v>
      </c>
      <c r="R137" s="210" t="s">
        <v>16</v>
      </c>
      <c r="T137" s="207" t="s">
        <v>536</v>
      </c>
      <c r="U137" s="42">
        <f>LOOKUP(E$73,'Model homes'!$C$351:$C$375,'Model homes'!$F$351:$F$375)*U126</f>
        <v>4.7683519758769153</v>
      </c>
      <c r="V137" s="42">
        <f>LOOKUP(F$73,'Model homes'!$C$351:$C$375,'Model homes'!$F$351:$F$375)*V126</f>
        <v>1.4746085064097745</v>
      </c>
      <c r="W137" s="42">
        <f>LOOKUP(G$73,'Model homes'!$C$351:$C$375,'Model homes'!$F$351:$F$375)*W126</f>
        <v>3.6093496873752935</v>
      </c>
      <c r="X137" s="42">
        <f>LOOKUP(H$73,'Model homes'!$C$351:$C$375,'Model homes'!$F$351:$F$375)*X126</f>
        <v>1.5593107212124788</v>
      </c>
      <c r="Z137" s="210" t="s">
        <v>16</v>
      </c>
      <c r="AB137" s="207" t="s">
        <v>536</v>
      </c>
      <c r="AC137" s="42">
        <f>LOOKUP(E$73,'Model homes'!$C$351:$C$375,'Model homes'!$G$351:$G$375)*AC126</f>
        <v>2.1437516222709418</v>
      </c>
      <c r="AD137" s="42">
        <f>LOOKUP(F$73,'Model homes'!$C$351:$C$375,'Model homes'!$G$351:$G$375)*AD126</f>
        <v>0.66295323705610698</v>
      </c>
      <c r="AE137" s="42">
        <f>LOOKUP(G$73,'Model homes'!$C$351:$C$375,'Model homes'!$G$351:$G$375)*AE126</f>
        <v>1.622688360003236</v>
      </c>
      <c r="AF137" s="42">
        <f>LOOKUP(H$73,'Model homes'!$C$351:$C$375,'Model homes'!$G$351:$G$375)*AF126</f>
        <v>0.70103358668462745</v>
      </c>
      <c r="AH137" s="210" t="s">
        <v>16</v>
      </c>
      <c r="AJ137" s="207" t="s">
        <v>536</v>
      </c>
      <c r="AK137" s="42">
        <f>LOOKUP(E$73,'Model homes'!$C$351:$C$375,'Model homes'!$H$351:$H$375)*AK126</f>
        <v>1.66286736838222E-2</v>
      </c>
      <c r="AL137" s="42">
        <f>LOOKUP(F$73,'Model homes'!$C$351:$C$375,'Model homes'!$H$351:$H$375)*AL126</f>
        <v>5.1424021944116508E-3</v>
      </c>
      <c r="AM137" s="42">
        <f>LOOKUP(G$73,'Model homes'!$C$351:$C$375,'Model homes'!$H$351:$H$375)*AM126</f>
        <v>1.258688504242219E-2</v>
      </c>
      <c r="AN137" s="42">
        <f>LOOKUP(H$73,'Model homes'!$C$351:$C$375,'Model homes'!$H$351:$H$375)*AN126</f>
        <v>5.4377842252216054E-3</v>
      </c>
    </row>
    <row r="138" spans="3:40" x14ac:dyDescent="0.3">
      <c r="C138" s="15" t="s">
        <v>17</v>
      </c>
      <c r="D138" s="84" t="s">
        <v>536</v>
      </c>
      <c r="E138" s="42">
        <f>LOOKUP(E$73,'Model homes'!$C$203:$C$227,'Model homes'!$F$203:$F$227)*E127</f>
        <v>144.20004607974332</v>
      </c>
      <c r="F138" s="42">
        <f>LOOKUP(F$73,'Model homes'!$C$203:$C$227,'Model homes'!$F$203:$F$227)*F127</f>
        <v>43.478889616028567</v>
      </c>
      <c r="G138" s="42">
        <f>LOOKUP(G$73,'Model homes'!$C$203:$C$227,'Model homes'!$F$203:$F$227)*G127</f>
        <v>111.87934609635258</v>
      </c>
      <c r="H138" s="42">
        <f>LOOKUP(H$73,'Model homes'!$C$203:$C$227,'Model homes'!$F$203:$F$227)*H127</f>
        <v>45.976337739806404</v>
      </c>
      <c r="J138" s="210" t="s">
        <v>17</v>
      </c>
      <c r="L138" s="207" t="s">
        <v>536</v>
      </c>
      <c r="M138" s="42">
        <f>LOOKUP(E$73,'Model homes'!$C$351:$C$375,'Model homes'!$E$351:$E$375)*M127</f>
        <v>4.1154477558686455</v>
      </c>
      <c r="N138" s="42">
        <f>LOOKUP(F$73,'Model homes'!$C$351:$C$375,'Model homes'!$E$351:$E$375)*N127</f>
        <v>1.2408810091433216</v>
      </c>
      <c r="O138" s="42">
        <f>LOOKUP(G$73,'Model homes'!$C$351:$C$375,'Model homes'!$E$351:$E$375)*O127</f>
        <v>3.1930198105877419</v>
      </c>
      <c r="P138" s="42">
        <f>LOOKUP(H$73,'Model homes'!$C$351:$C$375,'Model homes'!$E$351:$E$375)*P127</f>
        <v>1.3121578052042324</v>
      </c>
      <c r="R138" s="210" t="s">
        <v>17</v>
      </c>
      <c r="T138" s="207" t="s">
        <v>536</v>
      </c>
      <c r="U138" s="42">
        <f>LOOKUP(E$73,'Model homes'!$C$351:$C$375,'Model homes'!$F$351:$F$375)*U127</f>
        <v>5.3007982262850089</v>
      </c>
      <c r="V138" s="42">
        <f>LOOKUP(F$73,'Model homes'!$C$351:$C$375,'Model homes'!$F$351:$F$375)*V127</f>
        <v>1.5982853488828526</v>
      </c>
      <c r="W138" s="42">
        <f>LOOKUP(G$73,'Model homes'!$C$351:$C$375,'Model homes'!$F$351:$F$375)*W127</f>
        <v>4.1126882790142307</v>
      </c>
      <c r="X138" s="42">
        <f>LOOKUP(H$73,'Model homes'!$C$351:$C$375,'Model homes'!$F$351:$F$375)*X127</f>
        <v>1.6900916204109449</v>
      </c>
      <c r="Z138" s="210" t="s">
        <v>17</v>
      </c>
      <c r="AB138" s="207" t="s">
        <v>536</v>
      </c>
      <c r="AC138" s="42">
        <f>LOOKUP(E$73,'Model homes'!$C$351:$C$375,'Model homes'!$G$351:$G$375)*AC127</f>
        <v>0.37692336215752825</v>
      </c>
      <c r="AD138" s="42">
        <f>LOOKUP(F$73,'Model homes'!$C$351:$C$375,'Model homes'!$G$351:$G$375)*AD127</f>
        <v>0.11364912635247547</v>
      </c>
      <c r="AE138" s="42">
        <f>LOOKUP(G$73,'Model homes'!$C$351:$C$375,'Model homes'!$G$351:$G$375)*AE127</f>
        <v>0.29244053960497879</v>
      </c>
      <c r="AF138" s="42">
        <f>LOOKUP(H$73,'Model homes'!$C$351:$C$375,'Model homes'!$G$351:$G$375)*AF127</f>
        <v>0.12017718628879326</v>
      </c>
      <c r="AH138" s="210" t="s">
        <v>17</v>
      </c>
      <c r="AJ138" s="207" t="s">
        <v>536</v>
      </c>
      <c r="AK138" s="42">
        <f>LOOKUP(E$73,'Model homes'!$C$351:$C$375,'Model homes'!$H$351:$H$375)*AK127</f>
        <v>2.0466059918550404E-2</v>
      </c>
      <c r="AL138" s="42">
        <f>LOOKUP(F$73,'Model homes'!$C$351:$C$375,'Model homes'!$H$351:$H$375)*AL127</f>
        <v>6.1708826332939806E-3</v>
      </c>
      <c r="AM138" s="42">
        <f>LOOKUP(G$73,'Model homes'!$C$351:$C$375,'Model homes'!$H$351:$H$375)*AM127</f>
        <v>1.587883959197876E-2</v>
      </c>
      <c r="AN138" s="42">
        <f>LOOKUP(H$73,'Model homes'!$C$351:$C$375,'Model homes'!$H$351:$H$375)*AN127</f>
        <v>6.5253410702659264E-3</v>
      </c>
    </row>
    <row r="139" spans="3:40" x14ac:dyDescent="0.3">
      <c r="C139" s="15" t="s">
        <v>18</v>
      </c>
      <c r="D139" s="84" t="s">
        <v>536</v>
      </c>
      <c r="E139" s="42">
        <f>LOOKUP(E$73,'Model homes'!$C$203:$C$227,'Model homes'!$F$203:$F$227)*E128</f>
        <v>72.100023039871644</v>
      </c>
      <c r="F139" s="42">
        <f>LOOKUP(F$73,'Model homes'!$C$203:$C$227,'Model homes'!$F$203:$F$227)*F128</f>
        <v>22.034550393643435</v>
      </c>
      <c r="G139" s="42">
        <f>LOOKUP(G$73,'Model homes'!$C$203:$C$227,'Model homes'!$F$203:$F$227)*G128</f>
        <v>55.939673048176282</v>
      </c>
      <c r="H139" s="42">
        <f>LOOKUP(H$73,'Model homes'!$C$203:$C$227,'Model homes'!$F$203:$F$227)*H128</f>
        <v>23.300225460897362</v>
      </c>
      <c r="J139" s="210" t="s">
        <v>18</v>
      </c>
      <c r="L139" s="207" t="s">
        <v>536</v>
      </c>
      <c r="M139" s="42">
        <f>LOOKUP(E$73,'Model homes'!$C$351:$C$375,'Model homes'!$E$351:$E$375)*M128</f>
        <v>3.1678117594515225</v>
      </c>
      <c r="N139" s="42">
        <f>LOOKUP(F$73,'Model homes'!$C$351:$C$375,'Model homes'!$E$351:$E$375)*N128</f>
        <v>0.96811769134401526</v>
      </c>
      <c r="O139" s="42">
        <f>LOOKUP(G$73,'Model homes'!$C$351:$C$375,'Model homes'!$E$351:$E$375)*O128</f>
        <v>2.4577849857813541</v>
      </c>
      <c r="P139" s="42">
        <f>LOOKUP(H$73,'Model homes'!$C$351:$C$375,'Model homes'!$E$351:$E$375)*P128</f>
        <v>1.0237268325432403</v>
      </c>
      <c r="R139" s="210" t="s">
        <v>18</v>
      </c>
      <c r="T139" s="207" t="s">
        <v>536</v>
      </c>
      <c r="U139" s="42">
        <f>LOOKUP(E$73,'Model homes'!$C$351:$C$375,'Model homes'!$F$351:$F$375)*U128</f>
        <v>10.767246397141422</v>
      </c>
      <c r="V139" s="42">
        <f>LOOKUP(F$73,'Model homes'!$C$351:$C$375,'Model homes'!$F$351:$F$375)*V128</f>
        <v>3.2905874829941073</v>
      </c>
      <c r="W139" s="42">
        <f>LOOKUP(G$73,'Model homes'!$C$351:$C$375,'Model homes'!$F$351:$F$375)*W128</f>
        <v>8.3538980667476554</v>
      </c>
      <c r="X139" s="42">
        <f>LOOKUP(H$73,'Model homes'!$C$351:$C$375,'Model homes'!$F$351:$F$375)*X128</f>
        <v>3.4796003949637093</v>
      </c>
      <c r="Z139" s="210" t="s">
        <v>18</v>
      </c>
      <c r="AB139" s="207" t="s">
        <v>536</v>
      </c>
      <c r="AC139" s="42">
        <f>LOOKUP(E$73,'Model homes'!$C$351:$C$375,'Model homes'!$G$351:$G$375)*AC128</f>
        <v>0.30625023175299165</v>
      </c>
      <c r="AD139" s="42">
        <f>LOOKUP(F$73,'Model homes'!$C$351:$C$375,'Model homes'!$G$351:$G$375)*AD128</f>
        <v>9.3593398172626838E-2</v>
      </c>
      <c r="AE139" s="42">
        <f>LOOKUP(G$73,'Model homes'!$C$351:$C$375,'Model homes'!$G$351:$G$375)*AE128</f>
        <v>0.23760793842904526</v>
      </c>
      <c r="AF139" s="42">
        <f>LOOKUP(H$73,'Model homes'!$C$351:$C$375,'Model homes'!$G$351:$G$375)*AF128</f>
        <v>9.8969447531947377E-2</v>
      </c>
      <c r="AH139" s="210" t="s">
        <v>18</v>
      </c>
      <c r="AJ139" s="207" t="s">
        <v>536</v>
      </c>
      <c r="AK139" s="42">
        <f>LOOKUP(E$73,'Model homes'!$C$351:$C$375,'Model homes'!$H$351:$H$375)*AK128</f>
        <v>1.66286736838222E-2</v>
      </c>
      <c r="AL139" s="42">
        <f>LOOKUP(F$73,'Model homes'!$C$351:$C$375,'Model homes'!$H$351:$H$375)*AL128</f>
        <v>5.0819033450656302E-3</v>
      </c>
      <c r="AM139" s="42">
        <f>LOOKUP(G$73,'Model homes'!$C$351:$C$375,'Model homes'!$H$351:$H$375)*AM128</f>
        <v>1.2901557168482743E-2</v>
      </c>
      <c r="AN139" s="42">
        <f>LOOKUP(H$73,'Model homes'!$C$351:$C$375,'Model homes'!$H$351:$H$375)*AN128</f>
        <v>5.3738102931601738E-3</v>
      </c>
    </row>
    <row r="140" spans="3:40" x14ac:dyDescent="0.3">
      <c r="C140" s="15" t="s">
        <v>19</v>
      </c>
      <c r="D140" s="84" t="s">
        <v>536</v>
      </c>
      <c r="E140" s="42">
        <f>LOOKUP(E$73,'Model homes'!$C$203:$C$227,'Model homes'!$F$203:$F$227)*E129</f>
        <v>87.871903079843577</v>
      </c>
      <c r="F140" s="42">
        <f>LOOKUP(F$73,'Model homes'!$C$203:$C$227,'Model homes'!$F$203:$F$227)*F129</f>
        <v>26.542345405133716</v>
      </c>
      <c r="G140" s="42">
        <f>LOOKUP(G$73,'Model homes'!$C$203:$C$227,'Model homes'!$F$203:$F$227)*G129</f>
        <v>68.176476527464843</v>
      </c>
      <c r="H140" s="42">
        <f>LOOKUP(H$73,'Model homes'!$C$203:$C$227,'Model homes'!$F$203:$F$227)*H129</f>
        <v>28.066950364416702</v>
      </c>
      <c r="J140" s="210" t="s">
        <v>19</v>
      </c>
      <c r="L140" s="207" t="s">
        <v>536</v>
      </c>
      <c r="M140" s="42">
        <f>LOOKUP(E$73,'Model homes'!$C$351:$C$375,'Model homes'!$E$351:$E$375)*M129</f>
        <v>3.1678117594515225</v>
      </c>
      <c r="N140" s="42">
        <f>LOOKUP(F$73,'Model homes'!$C$351:$C$375,'Model homes'!$E$351:$E$375)*N129</f>
        <v>0.95686050888652674</v>
      </c>
      <c r="O140" s="42">
        <f>LOOKUP(G$73,'Model homes'!$C$351:$C$375,'Model homes'!$E$351:$E$375)*O129</f>
        <v>2.4577849857813541</v>
      </c>
      <c r="P140" s="42">
        <f>LOOKUP(H$73,'Model homes'!$C$351:$C$375,'Model homes'!$E$351:$E$375)*P129</f>
        <v>1.0118230321648305</v>
      </c>
      <c r="R140" s="210" t="s">
        <v>19</v>
      </c>
      <c r="T140" s="207" t="s">
        <v>536</v>
      </c>
      <c r="U140" s="42">
        <f>LOOKUP(E$73,'Model homes'!$C$351:$C$375,'Model homes'!$F$351:$F$375)*U129</f>
        <v>10.767246397141422</v>
      </c>
      <c r="V140" s="42">
        <f>LOOKUP(F$73,'Model homes'!$C$351:$C$375,'Model homes'!$F$351:$F$375)*V129</f>
        <v>3.2523248378430125</v>
      </c>
      <c r="W140" s="42">
        <f>LOOKUP(G$73,'Model homes'!$C$351:$C$375,'Model homes'!$F$351:$F$375)*W129</f>
        <v>8.3538980667476554</v>
      </c>
      <c r="X140" s="42">
        <f>LOOKUP(H$73,'Model homes'!$C$351:$C$375,'Model homes'!$F$351:$F$375)*X129</f>
        <v>3.4391399252548291</v>
      </c>
      <c r="Z140" s="210" t="s">
        <v>19</v>
      </c>
      <c r="AB140" s="207" t="s">
        <v>536</v>
      </c>
      <c r="AC140" s="42">
        <f>LOOKUP(E$73,'Model homes'!$C$351:$C$375,'Model homes'!$G$351:$G$375)*AC129</f>
        <v>0.30625023175299165</v>
      </c>
      <c r="AD140" s="42">
        <f>LOOKUP(F$73,'Model homes'!$C$351:$C$375,'Model homes'!$G$351:$G$375)*AD129</f>
        <v>9.2505102845038156E-2</v>
      </c>
      <c r="AE140" s="42">
        <f>LOOKUP(G$73,'Model homes'!$C$351:$C$375,'Model homes'!$G$351:$G$375)*AE129</f>
        <v>0.23760793842904526</v>
      </c>
      <c r="AF140" s="42">
        <f>LOOKUP(H$73,'Model homes'!$C$351:$C$375,'Model homes'!$G$351:$G$375)*AF129</f>
        <v>9.7818640002506133E-2</v>
      </c>
      <c r="AH140" s="210" t="s">
        <v>19</v>
      </c>
      <c r="AJ140" s="207" t="s">
        <v>536</v>
      </c>
      <c r="AK140" s="42">
        <f>LOOKUP(E$73,'Model homes'!$C$351:$C$375,'Model homes'!$H$351:$H$375)*AK129</f>
        <v>1.66286736838222E-2</v>
      </c>
      <c r="AL140" s="42">
        <f>LOOKUP(F$73,'Model homes'!$C$351:$C$375,'Model homes'!$H$351:$H$375)*AL129</f>
        <v>5.0228114457044016E-3</v>
      </c>
      <c r="AM140" s="42">
        <f>LOOKUP(G$73,'Model homes'!$C$351:$C$375,'Model homes'!$H$351:$H$375)*AM129</f>
        <v>1.2901557168482743E-2</v>
      </c>
      <c r="AN140" s="42">
        <f>LOOKUP(H$73,'Model homes'!$C$351:$C$375,'Model homes'!$H$351:$H$375)*AN129</f>
        <v>5.3113241269606374E-3</v>
      </c>
    </row>
    <row r="141" spans="3:40" x14ac:dyDescent="0.3">
      <c r="C141" s="14" t="s">
        <v>20</v>
      </c>
      <c r="D141" s="84" t="s">
        <v>536</v>
      </c>
      <c r="E141" s="42">
        <f>LOOKUP(E$73,'Model homes'!$C$203:$C$227,'Model homes'!$F$203:$F$227)*E130</f>
        <v>58.95237177965975</v>
      </c>
      <c r="F141" s="42">
        <f>LOOKUP(F$73,'Model homes'!$C$203:$C$227,'Model homes'!$F$203:$F$227)*F130</f>
        <v>18.702457823340314</v>
      </c>
      <c r="G141" s="42">
        <f>LOOKUP(G$73,'Model homes'!$C$203:$C$227,'Model homes'!$F$203:$F$227)*G130</f>
        <v>44.687439963773002</v>
      </c>
      <c r="H141" s="42">
        <f>LOOKUP(H$73,'Model homes'!$C$203:$C$227,'Model homes'!$F$203:$F$227)*H130</f>
        <v>19.776735906645282</v>
      </c>
      <c r="J141" s="213" t="s">
        <v>20</v>
      </c>
      <c r="L141" s="207" t="s">
        <v>536</v>
      </c>
      <c r="M141" s="42">
        <f>LOOKUP(E$73,'Model homes'!$C$351:$C$375,'Model homes'!$E$351:$E$375)*M130</f>
        <v>0</v>
      </c>
      <c r="N141" s="42">
        <f>LOOKUP(F$73,'Model homes'!$C$351:$C$375,'Model homes'!$E$351:$E$375)*N130</f>
        <v>0</v>
      </c>
      <c r="O141" s="42">
        <f>LOOKUP(G$73,'Model homes'!$C$351:$C$375,'Model homes'!$E$351:$E$375)*O130</f>
        <v>0</v>
      </c>
      <c r="P141" s="42">
        <f>LOOKUP(H$73,'Model homes'!$C$351:$C$375,'Model homes'!$E$351:$E$375)*P130</f>
        <v>0</v>
      </c>
      <c r="R141" s="213" t="s">
        <v>20</v>
      </c>
      <c r="T141" s="207" t="s">
        <v>536</v>
      </c>
      <c r="U141" s="42">
        <f>LOOKUP(E$73,'Model homes'!$C$351:$C$375,'Model homes'!$F$351:$F$375)*U130</f>
        <v>1.8820060929457278</v>
      </c>
      <c r="V141" s="42">
        <f>LOOKUP(F$73,'Model homes'!$C$351:$C$375,'Model homes'!$F$351:$F$375)*V130</f>
        <v>0.59706061883554828</v>
      </c>
      <c r="W141" s="42">
        <f>LOOKUP(G$73,'Model homes'!$C$351:$C$375,'Model homes'!$F$351:$F$375)*W130</f>
        <v>1.4266098504790741</v>
      </c>
      <c r="X141" s="42">
        <f>LOOKUP(H$73,'Model homes'!$C$351:$C$375,'Model homes'!$F$351:$F$375)*X130</f>
        <v>0.63135606509604258</v>
      </c>
      <c r="Z141" s="213" t="s">
        <v>20</v>
      </c>
      <c r="AB141" s="207" t="s">
        <v>536</v>
      </c>
      <c r="AC141" s="42">
        <f>LOOKUP(E$73,'Model homes'!$C$351:$C$375,'Model homes'!$G$351:$G$375)*AC130</f>
        <v>0</v>
      </c>
      <c r="AD141" s="42">
        <f>LOOKUP(F$73,'Model homes'!$C$351:$C$375,'Model homes'!$G$351:$G$375)*AD130</f>
        <v>0</v>
      </c>
      <c r="AE141" s="42">
        <f>LOOKUP(G$73,'Model homes'!$C$351:$C$375,'Model homes'!$G$351:$G$375)*AE130</f>
        <v>0</v>
      </c>
      <c r="AF141" s="42">
        <f>LOOKUP(H$73,'Model homes'!$C$351:$C$375,'Model homes'!$G$351:$G$375)*AF130</f>
        <v>0</v>
      </c>
      <c r="AH141" s="213" t="s">
        <v>20</v>
      </c>
      <c r="AJ141" s="207" t="s">
        <v>536</v>
      </c>
      <c r="AK141" s="42">
        <f>LOOKUP(E$73,'Model homes'!$C$351:$C$375,'Model homes'!$H$351:$H$375)*AK130</f>
        <v>0</v>
      </c>
      <c r="AL141" s="42">
        <f>LOOKUP(F$73,'Model homes'!$C$351:$C$375,'Model homes'!$H$351:$H$375)*AL130</f>
        <v>0</v>
      </c>
      <c r="AM141" s="42">
        <f>LOOKUP(G$73,'Model homes'!$C$351:$C$375,'Model homes'!$H$351:$H$375)*AM130</f>
        <v>0</v>
      </c>
      <c r="AN141" s="42">
        <f>LOOKUP(H$73,'Model homes'!$C$351:$C$375,'Model homes'!$H$351:$H$375)*AN130</f>
        <v>0</v>
      </c>
    </row>
    <row r="142" spans="3:40" x14ac:dyDescent="0.3">
      <c r="C142" s="14" t="s">
        <v>21</v>
      </c>
      <c r="D142" s="84" t="s">
        <v>536</v>
      </c>
      <c r="E142" s="42"/>
      <c r="F142" s="42"/>
      <c r="G142" s="42"/>
      <c r="H142" s="42"/>
      <c r="J142" s="213" t="s">
        <v>21</v>
      </c>
      <c r="L142" s="207" t="s">
        <v>536</v>
      </c>
      <c r="M142" s="159"/>
      <c r="N142" s="159"/>
      <c r="O142" s="159"/>
      <c r="P142" s="159"/>
      <c r="R142" s="213" t="s">
        <v>21</v>
      </c>
      <c r="T142" s="207" t="s">
        <v>536</v>
      </c>
      <c r="U142" s="159"/>
      <c r="V142" s="159"/>
      <c r="W142" s="159"/>
      <c r="X142" s="159"/>
      <c r="Z142" s="213" t="s">
        <v>21</v>
      </c>
      <c r="AB142" s="207" t="s">
        <v>536</v>
      </c>
      <c r="AC142" s="159"/>
      <c r="AD142" s="159"/>
      <c r="AE142" s="159"/>
      <c r="AF142" s="159"/>
      <c r="AH142" s="213" t="s">
        <v>21</v>
      </c>
      <c r="AJ142" s="207" t="s">
        <v>536</v>
      </c>
      <c r="AK142" s="159"/>
      <c r="AL142" s="159"/>
      <c r="AM142" s="159"/>
      <c r="AN142" s="159"/>
    </row>
    <row r="143" spans="3:40" x14ac:dyDescent="0.3">
      <c r="C143" s="14" t="s">
        <v>22</v>
      </c>
      <c r="D143" s="84" t="s">
        <v>536</v>
      </c>
      <c r="E143" s="42" t="e">
        <f>LOOKUP(E$73,'Model homes'!$C$203:$C$227,'Model homes'!$F$203:$F$227)*E132</f>
        <v>#N/A</v>
      </c>
      <c r="F143" s="42" t="e">
        <f>LOOKUP(F$73,'Model homes'!$C$203:$C$227,'Model homes'!$F$203:$F$227)*F132</f>
        <v>#N/A</v>
      </c>
      <c r="G143" s="42" t="e">
        <f>LOOKUP(G$73,'Model homes'!$C$203:$C$227,'Model homes'!$F$203:$F$227)*G132</f>
        <v>#N/A</v>
      </c>
      <c r="H143" s="42" t="e">
        <f>LOOKUP(H$73,'Model homes'!$C$203:$C$227,'Model homes'!$F$203:$F$227)*H132</f>
        <v>#N/A</v>
      </c>
      <c r="J143" s="213" t="s">
        <v>22</v>
      </c>
      <c r="L143" s="207" t="s">
        <v>536</v>
      </c>
      <c r="M143" s="159" t="e">
        <f>LOOKUP(E$73,'Model homes'!$C$351:$C$375,'Model homes'!$E$351:$E$375)*M132</f>
        <v>#DIV/0!</v>
      </c>
      <c r="N143" s="159" t="e">
        <f>LOOKUP(F$73,'Model homes'!$C$351:$C$375,'Model homes'!$E$351:$E$375)*N132</f>
        <v>#DIV/0!</v>
      </c>
      <c r="O143" s="159" t="e">
        <f>LOOKUP(G$73,'Model homes'!$C$351:$C$375,'Model homes'!$E$351:$E$375)*O132</f>
        <v>#DIV/0!</v>
      </c>
      <c r="P143" s="159" t="e">
        <f>LOOKUP(H$73,'Model homes'!$C$351:$C$375,'Model homes'!$E$351:$E$375)*P132</f>
        <v>#DIV/0!</v>
      </c>
      <c r="R143" s="213" t="s">
        <v>22</v>
      </c>
      <c r="T143" s="207" t="s">
        <v>536</v>
      </c>
      <c r="U143" s="159" t="e">
        <f>LOOKUP(E$73,'Model homes'!$C$351:$C$375,'Model homes'!$F$351:$F$375)*U132</f>
        <v>#DIV/0!</v>
      </c>
      <c r="V143" s="159" t="e">
        <f>LOOKUP(F$73,'Model homes'!$C$351:$C$375,'Model homes'!$F$351:$F$375)*V132</f>
        <v>#DIV/0!</v>
      </c>
      <c r="W143" s="159" t="e">
        <f>LOOKUP(G$73,'Model homes'!$C$351:$C$375,'Model homes'!$F$351:$F$375)*W132</f>
        <v>#DIV/0!</v>
      </c>
      <c r="X143" s="159" t="e">
        <f>LOOKUP(H$73,'Model homes'!$C$351:$C$375,'Model homes'!$F$351:$F$375)*X132</f>
        <v>#DIV/0!</v>
      </c>
      <c r="Z143" s="213" t="s">
        <v>22</v>
      </c>
      <c r="AB143" s="207" t="s">
        <v>536</v>
      </c>
      <c r="AC143" s="159" t="e">
        <f>LOOKUP(E$73,'Model homes'!$C$351:$C$375,'Model homes'!$G$351:$G$375)*AC132</f>
        <v>#DIV/0!</v>
      </c>
      <c r="AD143" s="159" t="e">
        <f>LOOKUP(F$73,'Model homes'!$C$351:$C$375,'Model homes'!$G$351:$G$375)*AD132</f>
        <v>#DIV/0!</v>
      </c>
      <c r="AE143" s="159" t="e">
        <f>LOOKUP(G$73,'Model homes'!$C$351:$C$375,'Model homes'!$G$351:$G$375)*AE132</f>
        <v>#DIV/0!</v>
      </c>
      <c r="AF143" s="159" t="e">
        <f>LOOKUP(H$73,'Model homes'!$C$351:$C$375,'Model homes'!$G$351:$G$375)*AF132</f>
        <v>#DIV/0!</v>
      </c>
      <c r="AH143" s="213" t="s">
        <v>22</v>
      </c>
      <c r="AJ143" s="207" t="s">
        <v>536</v>
      </c>
      <c r="AK143" s="159" t="e">
        <f>LOOKUP(E$73,'Model homes'!$C$351:$C$375,'Model homes'!$H$351:$H$375)*AK132</f>
        <v>#DIV/0!</v>
      </c>
      <c r="AL143" s="159" t="e">
        <f>LOOKUP(F$73,'Model homes'!$C$351:$C$375,'Model homes'!$H$351:$H$375)*AL132</f>
        <v>#DIV/0!</v>
      </c>
      <c r="AM143" s="159" t="e">
        <f>LOOKUP(G$73,'Model homes'!$C$351:$C$375,'Model homes'!$H$351:$H$375)*AM132</f>
        <v>#DIV/0!</v>
      </c>
      <c r="AN143" s="159" t="e">
        <f>LOOKUP(H$73,'Model homes'!$C$351:$C$375,'Model homes'!$H$351:$H$375)*AN132</f>
        <v>#DIV/0!</v>
      </c>
    </row>
    <row r="145" spans="2:13" x14ac:dyDescent="0.3">
      <c r="C145" s="15" t="s">
        <v>303</v>
      </c>
      <c r="D145" s="17" t="s">
        <v>301</v>
      </c>
      <c r="E145" s="94">
        <f>'Model homes'!E$170</f>
        <v>0.03</v>
      </c>
    </row>
    <row r="147" spans="2:13" x14ac:dyDescent="0.3">
      <c r="C147" s="51" t="s">
        <v>537</v>
      </c>
      <c r="E147" s="209"/>
      <c r="J147" s="51" t="s">
        <v>538</v>
      </c>
    </row>
    <row r="148" spans="2:13" x14ac:dyDescent="0.3">
      <c r="C148" s="209" t="s">
        <v>14</v>
      </c>
      <c r="D148" s="207" t="s">
        <v>536</v>
      </c>
      <c r="E148" s="159" t="e">
        <f t="shared" ref="E148:H154" si="18">M135+U135+AC135+AK135</f>
        <v>#DIV/0!</v>
      </c>
      <c r="F148" s="159" t="e">
        <f t="shared" si="18"/>
        <v>#DIV/0!</v>
      </c>
      <c r="G148" s="159" t="e">
        <f t="shared" si="18"/>
        <v>#DIV/0!</v>
      </c>
      <c r="H148" s="159" t="e">
        <f t="shared" si="18"/>
        <v>#DIV/0!</v>
      </c>
      <c r="J148" s="63">
        <f>(1-(((1+'Model homes'!$E159)/(1+E$145))^E$73))/(E$145-'Model homes'!$E159)</f>
        <v>22.909194708310952</v>
      </c>
    </row>
    <row r="149" spans="2:13" x14ac:dyDescent="0.3">
      <c r="C149" s="213" t="s">
        <v>15</v>
      </c>
      <c r="D149" s="207" t="s">
        <v>536</v>
      </c>
      <c r="E149" s="42">
        <f t="shared" si="18"/>
        <v>8.9608755153417636</v>
      </c>
      <c r="F149" s="42">
        <f t="shared" si="18"/>
        <v>2.7018640283863853</v>
      </c>
      <c r="G149" s="42">
        <f t="shared" si="18"/>
        <v>6.7448689867150433</v>
      </c>
      <c r="H149" s="42">
        <f t="shared" si="18"/>
        <v>2.8570603847788179</v>
      </c>
      <c r="J149" s="63">
        <f>(1-(((1+'Model homes'!$E160)/(1+E$145))^E$73))/(E$145-'Model homes'!$E160)</f>
        <v>21.643744007958169</v>
      </c>
    </row>
    <row r="150" spans="2:13" x14ac:dyDescent="0.3">
      <c r="C150" s="210" t="s">
        <v>16</v>
      </c>
      <c r="D150" s="207" t="s">
        <v>536</v>
      </c>
      <c r="E150" s="42">
        <f t="shared" si="18"/>
        <v>7.280711356215182</v>
      </c>
      <c r="F150" s="42">
        <f t="shared" si="18"/>
        <v>2.2515533569886546</v>
      </c>
      <c r="G150" s="42">
        <f t="shared" si="18"/>
        <v>5.5110514891452178</v>
      </c>
      <c r="H150" s="42">
        <f t="shared" si="18"/>
        <v>2.3808836539823486</v>
      </c>
      <c r="J150" s="63">
        <f>(1-(((1+'Model homes'!$E161)/(1+E$145))^E$73))/(E$145-'Model homes'!$E161)</f>
        <v>22.909194708310952</v>
      </c>
    </row>
    <row r="151" spans="2:13" x14ac:dyDescent="0.3">
      <c r="C151" s="210" t="s">
        <v>17</v>
      </c>
      <c r="D151" s="207" t="s">
        <v>536</v>
      </c>
      <c r="E151" s="42">
        <f t="shared" si="18"/>
        <v>9.8136354042297338</v>
      </c>
      <c r="F151" s="42">
        <f t="shared" si="18"/>
        <v>2.9589863670119434</v>
      </c>
      <c r="G151" s="42">
        <f t="shared" si="18"/>
        <v>7.6140274687989304</v>
      </c>
      <c r="H151" s="42">
        <f t="shared" si="18"/>
        <v>3.1289519529742367</v>
      </c>
      <c r="J151" s="63">
        <f>(1-(((1+'Model homes'!$E162)/(1+E$145))^E$73))/(E$145-'Model homes'!$E162)</f>
        <v>22.909194708310952</v>
      </c>
    </row>
    <row r="152" spans="2:13" x14ac:dyDescent="0.3">
      <c r="C152" s="210" t="s">
        <v>18</v>
      </c>
      <c r="D152" s="207" t="s">
        <v>536</v>
      </c>
      <c r="E152" s="42">
        <f t="shared" si="18"/>
        <v>14.257937062029759</v>
      </c>
      <c r="F152" s="42">
        <f t="shared" si="18"/>
        <v>4.3573804758558152</v>
      </c>
      <c r="G152" s="42">
        <f t="shared" si="18"/>
        <v>11.062192548126538</v>
      </c>
      <c r="H152" s="42">
        <f t="shared" si="18"/>
        <v>4.6076704853320578</v>
      </c>
      <c r="J152" s="63">
        <f>(1-(((1+'Model homes'!$E163)/(1+E$145))^E$73))/(E$145-'Model homes'!$E163)</f>
        <v>22.909194708310952</v>
      </c>
    </row>
    <row r="153" spans="2:13" x14ac:dyDescent="0.3">
      <c r="C153" s="210" t="s">
        <v>19</v>
      </c>
      <c r="D153" s="207" t="s">
        <v>536</v>
      </c>
      <c r="E153" s="42">
        <f t="shared" si="18"/>
        <v>14.257937062029759</v>
      </c>
      <c r="F153" s="42">
        <f t="shared" si="18"/>
        <v>4.3067132610202821</v>
      </c>
      <c r="G153" s="42">
        <f t="shared" si="18"/>
        <v>11.062192548126538</v>
      </c>
      <c r="H153" s="42">
        <f t="shared" si="18"/>
        <v>4.5540929215491266</v>
      </c>
      <c r="J153" s="63">
        <f>(1-(((1+'Model homes'!$E164)/(1+E$145))^E$73))/(E$145-'Model homes'!$E164)</f>
        <v>22.909194708310952</v>
      </c>
    </row>
    <row r="154" spans="2:13" x14ac:dyDescent="0.3">
      <c r="C154" s="213" t="s">
        <v>20</v>
      </c>
      <c r="D154" s="207" t="s">
        <v>536</v>
      </c>
      <c r="E154" s="42">
        <f t="shared" si="18"/>
        <v>1.8820060929457278</v>
      </c>
      <c r="F154" s="42">
        <f t="shared" si="18"/>
        <v>0.59706061883554828</v>
      </c>
      <c r="G154" s="42">
        <f t="shared" si="18"/>
        <v>1.4266098504790741</v>
      </c>
      <c r="H154" s="42">
        <f t="shared" si="18"/>
        <v>0.63135606509604258</v>
      </c>
      <c r="J154" s="63">
        <f>(1-(((1+'Model homes'!$E165)/(1+E$145))^E$73))/(E$145-'Model homes'!$E165)</f>
        <v>23.991159519596025</v>
      </c>
    </row>
    <row r="155" spans="2:13" x14ac:dyDescent="0.3">
      <c r="C155" s="213" t="s">
        <v>21</v>
      </c>
      <c r="D155" s="207" t="s">
        <v>536</v>
      </c>
      <c r="E155" s="159"/>
      <c r="F155" s="159"/>
      <c r="G155" s="159"/>
      <c r="H155" s="159"/>
      <c r="J155" s="63">
        <f>(1-(((1+'Model homes'!$E166)/(1+E$145))^E$73))/(E$145-'Model homes'!$E166)</f>
        <v>22.909194708310952</v>
      </c>
    </row>
    <row r="156" spans="2:13" x14ac:dyDescent="0.3">
      <c r="C156" s="213" t="s">
        <v>22</v>
      </c>
      <c r="D156" s="207" t="s">
        <v>536</v>
      </c>
      <c r="E156" s="159" t="e">
        <f>M143+U143+AC143+AK143</f>
        <v>#DIV/0!</v>
      </c>
      <c r="F156" s="159" t="e">
        <f>N143+V143+AD143+AL143</f>
        <v>#DIV/0!</v>
      </c>
      <c r="G156" s="159" t="e">
        <f>O143+W143+AE143+AM143</f>
        <v>#DIV/0!</v>
      </c>
      <c r="H156" s="159" t="e">
        <f>P143+X143+AF143+AN143</f>
        <v>#DIV/0!</v>
      </c>
      <c r="J156" s="63">
        <f>(1-(((1+'Model homes'!$E167)/(1+E$145))^E$73))/(E$145-'Model homes'!$E167)</f>
        <v>22.909194708310952</v>
      </c>
    </row>
    <row r="158" spans="2:13" ht="20.25" x14ac:dyDescent="0.35">
      <c r="C158" s="81" t="s">
        <v>715</v>
      </c>
    </row>
    <row r="159" spans="2:13" s="18" customFormat="1" ht="17.25" thickBot="1" x14ac:dyDescent="0.35">
      <c r="B159" s="19" t="s">
        <v>153</v>
      </c>
      <c r="C159" s="19" t="s">
        <v>154</v>
      </c>
      <c r="D159" s="19" t="s">
        <v>32</v>
      </c>
      <c r="E159" s="19" t="s">
        <v>155</v>
      </c>
      <c r="F159" s="19"/>
      <c r="G159" s="19" t="s">
        <v>155</v>
      </c>
      <c r="H159" s="19"/>
      <c r="I159" s="19"/>
      <c r="J159" s="56" t="s">
        <v>156</v>
      </c>
      <c r="K159" s="56"/>
    </row>
    <row r="160" spans="2:13" s="30" customFormat="1" ht="18" thickTop="1" thickBot="1" x14ac:dyDescent="0.35">
      <c r="B160" s="28"/>
      <c r="C160" s="29" t="s">
        <v>157</v>
      </c>
      <c r="D160" s="29"/>
      <c r="E160" s="335" t="s">
        <v>5</v>
      </c>
      <c r="F160" s="335"/>
      <c r="G160" s="335" t="s">
        <v>6</v>
      </c>
      <c r="H160" s="335"/>
      <c r="I160" s="28"/>
      <c r="J160" s="28"/>
      <c r="K160" s="57"/>
      <c r="M160" s="20"/>
    </row>
    <row r="161" spans="2:14" ht="18" thickTop="1" thickBot="1" x14ac:dyDescent="0.35">
      <c r="B161" s="19"/>
      <c r="C161" s="29" t="s">
        <v>158</v>
      </c>
      <c r="D161" s="29"/>
      <c r="E161" s="29" t="s">
        <v>7</v>
      </c>
      <c r="F161" s="29" t="s">
        <v>8</v>
      </c>
      <c r="G161" s="29" t="s">
        <v>7</v>
      </c>
      <c r="H161" s="29" t="s">
        <v>8</v>
      </c>
      <c r="I161" s="19"/>
      <c r="J161" s="19"/>
      <c r="K161" s="56"/>
      <c r="M161" s="82"/>
      <c r="N161" s="82"/>
    </row>
    <row r="162" spans="2:14" ht="17.25" thickTop="1" x14ac:dyDescent="0.3">
      <c r="C162" s="20" t="s">
        <v>14</v>
      </c>
      <c r="D162" s="20" t="s">
        <v>540</v>
      </c>
      <c r="E162" s="38">
        <f>'Campaign Input'!$G$12*'Data Input'!B$9*'Data Input'!B16</f>
        <v>0</v>
      </c>
      <c r="F162" s="38">
        <f>'Campaign Input'!$G$12*'Data Input'!C$9*'Data Input'!C16</f>
        <v>0</v>
      </c>
      <c r="G162" s="38">
        <f>'Campaign Input'!$G$12*'Data Input'!D$9*'Data Input'!D16</f>
        <v>0</v>
      </c>
      <c r="H162" s="38">
        <f>'Campaign Input'!$G$12*'Data Input'!E$9*'Data Input'!E16</f>
        <v>0</v>
      </c>
    </row>
    <row r="163" spans="2:14" x14ac:dyDescent="0.3">
      <c r="C163" s="14" t="s">
        <v>15</v>
      </c>
      <c r="D163" s="20" t="s">
        <v>540</v>
      </c>
      <c r="E163" s="38">
        <f>'Campaign Input'!$G$12*'Data Input'!B$9*'Data Input'!B17</f>
        <v>0</v>
      </c>
      <c r="F163" s="38">
        <f>'Campaign Input'!$G$12*'Data Input'!C$9*'Data Input'!C17</f>
        <v>0</v>
      </c>
      <c r="G163" s="38">
        <f>'Campaign Input'!$G$12*'Data Input'!D$9*'Data Input'!D17</f>
        <v>0</v>
      </c>
      <c r="H163" s="38">
        <f>'Campaign Input'!$G$12*'Data Input'!E$9*'Data Input'!E17</f>
        <v>0</v>
      </c>
    </row>
    <row r="164" spans="2:14" x14ac:dyDescent="0.3">
      <c r="C164" s="15" t="s">
        <v>16</v>
      </c>
      <c r="D164" s="20" t="s">
        <v>540</v>
      </c>
      <c r="E164" s="38">
        <f>'Campaign Input'!$G$12*'Data Input'!B$9*'Data Input'!B18</f>
        <v>0</v>
      </c>
      <c r="F164" s="38">
        <f>'Campaign Input'!$G$12*'Data Input'!C$9*'Data Input'!C18</f>
        <v>0</v>
      </c>
      <c r="G164" s="38">
        <f>'Campaign Input'!$G$12*'Data Input'!D$9*'Data Input'!D18</f>
        <v>0</v>
      </c>
      <c r="H164" s="38">
        <f>'Campaign Input'!$G$12*'Data Input'!E$9*'Data Input'!E18</f>
        <v>0</v>
      </c>
    </row>
    <row r="165" spans="2:14" x14ac:dyDescent="0.3">
      <c r="C165" s="15" t="s">
        <v>17</v>
      </c>
      <c r="D165" s="20" t="s">
        <v>540</v>
      </c>
      <c r="E165" s="38">
        <f>'Campaign Input'!$G$12*'Data Input'!B$9*'Data Input'!B19</f>
        <v>0</v>
      </c>
      <c r="F165" s="38">
        <f>'Campaign Input'!$G$12*'Data Input'!C$9*'Data Input'!C19</f>
        <v>0</v>
      </c>
      <c r="G165" s="38">
        <f>'Campaign Input'!$G$12*'Data Input'!D$9*'Data Input'!D19</f>
        <v>0</v>
      </c>
      <c r="H165" s="38">
        <f>'Campaign Input'!$G$12*'Data Input'!E$9*'Data Input'!E19</f>
        <v>0</v>
      </c>
    </row>
    <row r="166" spans="2:14" x14ac:dyDescent="0.3">
      <c r="C166" s="15" t="s">
        <v>18</v>
      </c>
      <c r="D166" s="20" t="s">
        <v>540</v>
      </c>
      <c r="E166" s="38">
        <f>'Campaign Input'!$G$12*'Data Input'!B$9*'Data Input'!B20</f>
        <v>0</v>
      </c>
      <c r="F166" s="38">
        <f>'Campaign Input'!$G$12*'Data Input'!C$9*'Data Input'!C20</f>
        <v>0</v>
      </c>
      <c r="G166" s="38">
        <f>'Campaign Input'!$G$12*'Data Input'!D$9*'Data Input'!D20</f>
        <v>0</v>
      </c>
      <c r="H166" s="38">
        <f>'Campaign Input'!$G$12*'Data Input'!E$9*'Data Input'!E20</f>
        <v>0</v>
      </c>
    </row>
    <row r="167" spans="2:14" x14ac:dyDescent="0.3">
      <c r="C167" s="15" t="s">
        <v>19</v>
      </c>
      <c r="D167" s="20" t="s">
        <v>540</v>
      </c>
      <c r="E167" s="38">
        <f>'Campaign Input'!$G$12*'Data Input'!B$9*'Data Input'!B21</f>
        <v>0</v>
      </c>
      <c r="F167" s="38">
        <f>'Campaign Input'!$G$12*'Data Input'!C$9*'Data Input'!C21</f>
        <v>0</v>
      </c>
      <c r="G167" s="38">
        <f>'Campaign Input'!$G$12*'Data Input'!D$9*'Data Input'!D21</f>
        <v>0</v>
      </c>
      <c r="H167" s="38">
        <f>'Campaign Input'!$G$12*'Data Input'!E$9*'Data Input'!E21</f>
        <v>0</v>
      </c>
    </row>
    <row r="168" spans="2:14" x14ac:dyDescent="0.3">
      <c r="C168" s="14" t="s">
        <v>20</v>
      </c>
      <c r="D168" s="20" t="s">
        <v>540</v>
      </c>
      <c r="E168" s="38">
        <f>'Campaign Input'!$G$12*'Data Input'!B$9*'Data Input'!B22</f>
        <v>0</v>
      </c>
      <c r="F168" s="38">
        <f>'Campaign Input'!$G$12*'Data Input'!C$9*'Data Input'!C22</f>
        <v>0</v>
      </c>
      <c r="G168" s="38">
        <f>'Campaign Input'!$G$12*'Data Input'!D$9*'Data Input'!D22</f>
        <v>0</v>
      </c>
      <c r="H168" s="38">
        <f>'Campaign Input'!$G$12*'Data Input'!E$9*'Data Input'!E22</f>
        <v>0</v>
      </c>
    </row>
    <row r="169" spans="2:14" x14ac:dyDescent="0.3">
      <c r="C169" s="14" t="s">
        <v>21</v>
      </c>
      <c r="D169" s="20" t="s">
        <v>540</v>
      </c>
    </row>
    <row r="170" spans="2:14" x14ac:dyDescent="0.3">
      <c r="C170" s="14" t="s">
        <v>22</v>
      </c>
      <c r="D170" s="20" t="s">
        <v>540</v>
      </c>
      <c r="E170" s="38">
        <f>'Campaign Input'!$G$12*'Data Input'!B$9*'Data Input'!B24</f>
        <v>0</v>
      </c>
      <c r="F170" s="38">
        <f>'Campaign Input'!$G$12*'Data Input'!C$9*'Data Input'!C24</f>
        <v>0</v>
      </c>
      <c r="G170" s="38">
        <f>'Campaign Input'!$G$12*'Data Input'!D$9*'Data Input'!D24</f>
        <v>0</v>
      </c>
      <c r="H170" s="38">
        <f>'Campaign Input'!$G$12*'Data Input'!E$9*'Data Input'!E24</f>
        <v>0</v>
      </c>
    </row>
    <row r="172" spans="2:14" x14ac:dyDescent="0.3">
      <c r="C172" s="51" t="s">
        <v>603</v>
      </c>
      <c r="D172" s="207"/>
      <c r="E172" s="208"/>
    </row>
    <row r="173" spans="2:14" x14ac:dyDescent="0.3">
      <c r="C173" s="209" t="s">
        <v>14</v>
      </c>
      <c r="D173" s="210" t="s">
        <v>69</v>
      </c>
      <c r="E173" s="42">
        <f>E$66*E162</f>
        <v>0</v>
      </c>
      <c r="F173" s="42">
        <f t="shared" ref="F173:H173" si="19">F$66*F162</f>
        <v>0</v>
      </c>
      <c r="G173" s="42">
        <f t="shared" si="19"/>
        <v>0</v>
      </c>
      <c r="H173" s="42">
        <f t="shared" si="19"/>
        <v>0</v>
      </c>
    </row>
    <row r="174" spans="2:14" x14ac:dyDescent="0.3">
      <c r="C174" s="213" t="s">
        <v>15</v>
      </c>
      <c r="D174" s="210" t="s">
        <v>69</v>
      </c>
      <c r="E174" s="42">
        <f t="shared" ref="E174:H181" si="20">E$66*E163</f>
        <v>0</v>
      </c>
      <c r="F174" s="42">
        <f t="shared" si="20"/>
        <v>0</v>
      </c>
      <c r="G174" s="42">
        <f t="shared" si="20"/>
        <v>0</v>
      </c>
      <c r="H174" s="42">
        <f t="shared" si="20"/>
        <v>0</v>
      </c>
    </row>
    <row r="175" spans="2:14" x14ac:dyDescent="0.3">
      <c r="C175" s="210" t="s">
        <v>16</v>
      </c>
      <c r="D175" s="210" t="s">
        <v>69</v>
      </c>
      <c r="E175" s="42">
        <f t="shared" si="20"/>
        <v>0</v>
      </c>
      <c r="F175" s="42">
        <f t="shared" si="20"/>
        <v>0</v>
      </c>
      <c r="G175" s="42">
        <f t="shared" si="20"/>
        <v>0</v>
      </c>
      <c r="H175" s="42">
        <f t="shared" si="20"/>
        <v>0</v>
      </c>
    </row>
    <row r="176" spans="2:14" x14ac:dyDescent="0.3">
      <c r="C176" s="210" t="s">
        <v>17</v>
      </c>
      <c r="D176" s="210" t="s">
        <v>69</v>
      </c>
      <c r="E176" s="42">
        <f t="shared" si="20"/>
        <v>0</v>
      </c>
      <c r="F176" s="42">
        <f t="shared" si="20"/>
        <v>0</v>
      </c>
      <c r="G176" s="42">
        <f t="shared" si="20"/>
        <v>0</v>
      </c>
      <c r="H176" s="42">
        <f t="shared" si="20"/>
        <v>0</v>
      </c>
    </row>
    <row r="177" spans="3:10" x14ac:dyDescent="0.3">
      <c r="C177" s="210" t="s">
        <v>18</v>
      </c>
      <c r="D177" s="210" t="s">
        <v>69</v>
      </c>
      <c r="E177" s="42">
        <f t="shared" si="20"/>
        <v>0</v>
      </c>
      <c r="F177" s="42">
        <f t="shared" si="20"/>
        <v>0</v>
      </c>
      <c r="G177" s="42">
        <f t="shared" si="20"/>
        <v>0</v>
      </c>
      <c r="H177" s="42">
        <f t="shared" si="20"/>
        <v>0</v>
      </c>
    </row>
    <row r="178" spans="3:10" x14ac:dyDescent="0.3">
      <c r="C178" s="210" t="s">
        <v>19</v>
      </c>
      <c r="D178" s="210" t="s">
        <v>69</v>
      </c>
      <c r="E178" s="42">
        <f t="shared" si="20"/>
        <v>0</v>
      </c>
      <c r="F178" s="42">
        <f t="shared" si="20"/>
        <v>0</v>
      </c>
      <c r="G178" s="42">
        <f t="shared" si="20"/>
        <v>0</v>
      </c>
      <c r="H178" s="42">
        <f t="shared" si="20"/>
        <v>0</v>
      </c>
    </row>
    <row r="179" spans="3:10" x14ac:dyDescent="0.3">
      <c r="C179" s="213" t="s">
        <v>20</v>
      </c>
      <c r="D179" s="210" t="s">
        <v>69</v>
      </c>
      <c r="E179" s="42">
        <f t="shared" si="20"/>
        <v>0</v>
      </c>
      <c r="F179" s="42">
        <f t="shared" si="20"/>
        <v>0</v>
      </c>
      <c r="G179" s="42">
        <f t="shared" si="20"/>
        <v>0</v>
      </c>
      <c r="H179" s="42">
        <f t="shared" si="20"/>
        <v>0</v>
      </c>
    </row>
    <row r="180" spans="3:10" x14ac:dyDescent="0.3">
      <c r="C180" s="213" t="s">
        <v>21</v>
      </c>
      <c r="D180" s="210" t="s">
        <v>69</v>
      </c>
      <c r="E180" s="42">
        <f t="shared" si="20"/>
        <v>0</v>
      </c>
      <c r="F180" s="42">
        <f t="shared" si="20"/>
        <v>0</v>
      </c>
      <c r="G180" s="42">
        <f t="shared" si="20"/>
        <v>0</v>
      </c>
      <c r="H180" s="42">
        <f t="shared" si="20"/>
        <v>0</v>
      </c>
    </row>
    <row r="181" spans="3:10" x14ac:dyDescent="0.3">
      <c r="C181" s="213" t="s">
        <v>22</v>
      </c>
      <c r="D181" s="210" t="s">
        <v>69</v>
      </c>
      <c r="E181" s="42">
        <f t="shared" si="20"/>
        <v>0</v>
      </c>
      <c r="F181" s="42">
        <f t="shared" si="20"/>
        <v>0</v>
      </c>
      <c r="G181" s="42">
        <f t="shared" si="20"/>
        <v>0</v>
      </c>
      <c r="H181" s="42">
        <f t="shared" si="20"/>
        <v>0</v>
      </c>
    </row>
    <row r="182" spans="3:10" x14ac:dyDescent="0.3">
      <c r="C182" s="216" t="s">
        <v>54</v>
      </c>
      <c r="D182" s="210" t="s">
        <v>69</v>
      </c>
      <c r="E182" s="45">
        <f>SUM(E173:E181)</f>
        <v>0</v>
      </c>
      <c r="F182" s="45">
        <f>SUM(F173:F181)</f>
        <v>0</v>
      </c>
      <c r="G182" s="45">
        <f>SUM(G173:G181)</f>
        <v>0</v>
      </c>
      <c r="H182" s="45">
        <f>SUM(H173:H181)</f>
        <v>0</v>
      </c>
      <c r="J182" s="45">
        <f>SUM(E182:H182)</f>
        <v>0</v>
      </c>
    </row>
    <row r="183" spans="3:10" x14ac:dyDescent="0.3">
      <c r="C183" s="209"/>
      <c r="D183" s="210"/>
      <c r="E183" s="42"/>
    </row>
    <row r="184" spans="3:10" x14ac:dyDescent="0.3">
      <c r="C184" s="51" t="s">
        <v>541</v>
      </c>
      <c r="D184" s="84"/>
      <c r="E184" s="91"/>
    </row>
    <row r="185" spans="3:10" x14ac:dyDescent="0.3">
      <c r="C185" s="20" t="s">
        <v>14</v>
      </c>
      <c r="D185" s="15" t="s">
        <v>542</v>
      </c>
      <c r="E185" s="42">
        <f t="shared" ref="E185:H191" si="21">E162*E31*E$73</f>
        <v>0</v>
      </c>
      <c r="F185" s="42">
        <f t="shared" si="21"/>
        <v>0</v>
      </c>
      <c r="G185" s="42">
        <f t="shared" si="21"/>
        <v>0</v>
      </c>
      <c r="H185" s="42">
        <f t="shared" si="21"/>
        <v>0</v>
      </c>
    </row>
    <row r="186" spans="3:10" x14ac:dyDescent="0.3">
      <c r="C186" s="14" t="s">
        <v>15</v>
      </c>
      <c r="D186" s="15" t="s">
        <v>542</v>
      </c>
      <c r="E186" s="42">
        <f t="shared" si="21"/>
        <v>0</v>
      </c>
      <c r="F186" s="42">
        <f t="shared" si="21"/>
        <v>0</v>
      </c>
      <c r="G186" s="42">
        <f t="shared" si="21"/>
        <v>0</v>
      </c>
      <c r="H186" s="42">
        <f t="shared" si="21"/>
        <v>0</v>
      </c>
    </row>
    <row r="187" spans="3:10" x14ac:dyDescent="0.3">
      <c r="C187" s="15" t="s">
        <v>16</v>
      </c>
      <c r="D187" s="15" t="s">
        <v>542</v>
      </c>
      <c r="E187" s="42">
        <f t="shared" si="21"/>
        <v>0</v>
      </c>
      <c r="F187" s="42">
        <f t="shared" si="21"/>
        <v>0</v>
      </c>
      <c r="G187" s="42">
        <f t="shared" si="21"/>
        <v>0</v>
      </c>
      <c r="H187" s="42">
        <f t="shared" si="21"/>
        <v>0</v>
      </c>
    </row>
    <row r="188" spans="3:10" x14ac:dyDescent="0.3">
      <c r="C188" s="15" t="s">
        <v>17</v>
      </c>
      <c r="D188" s="15" t="s">
        <v>542</v>
      </c>
      <c r="E188" s="42">
        <f t="shared" si="21"/>
        <v>0</v>
      </c>
      <c r="F188" s="42">
        <f t="shared" si="21"/>
        <v>0</v>
      </c>
      <c r="G188" s="42">
        <f t="shared" si="21"/>
        <v>0</v>
      </c>
      <c r="H188" s="42">
        <f t="shared" si="21"/>
        <v>0</v>
      </c>
    </row>
    <row r="189" spans="3:10" x14ac:dyDescent="0.3">
      <c r="C189" s="15" t="s">
        <v>18</v>
      </c>
      <c r="D189" s="15" t="s">
        <v>542</v>
      </c>
      <c r="E189" s="42">
        <f t="shared" si="21"/>
        <v>0</v>
      </c>
      <c r="F189" s="42">
        <f t="shared" si="21"/>
        <v>0</v>
      </c>
      <c r="G189" s="42">
        <f t="shared" si="21"/>
        <v>0</v>
      </c>
      <c r="H189" s="42">
        <f t="shared" si="21"/>
        <v>0</v>
      </c>
    </row>
    <row r="190" spans="3:10" x14ac:dyDescent="0.3">
      <c r="C190" s="15" t="s">
        <v>19</v>
      </c>
      <c r="D190" s="15" t="s">
        <v>542</v>
      </c>
      <c r="E190" s="42">
        <f t="shared" si="21"/>
        <v>0</v>
      </c>
      <c r="F190" s="42">
        <f t="shared" si="21"/>
        <v>0</v>
      </c>
      <c r="G190" s="42">
        <f t="shared" si="21"/>
        <v>0</v>
      </c>
      <c r="H190" s="42">
        <f t="shared" si="21"/>
        <v>0</v>
      </c>
    </row>
    <row r="191" spans="3:10" x14ac:dyDescent="0.3">
      <c r="C191" s="14" t="s">
        <v>20</v>
      </c>
      <c r="D191" s="15" t="s">
        <v>542</v>
      </c>
      <c r="E191" s="42">
        <f t="shared" si="21"/>
        <v>0</v>
      </c>
      <c r="F191" s="42">
        <f t="shared" si="21"/>
        <v>0</v>
      </c>
      <c r="G191" s="42">
        <f t="shared" si="21"/>
        <v>0</v>
      </c>
      <c r="H191" s="42">
        <f t="shared" si="21"/>
        <v>0</v>
      </c>
    </row>
    <row r="192" spans="3:10" x14ac:dyDescent="0.3">
      <c r="C192" s="14" t="s">
        <v>21</v>
      </c>
      <c r="D192" s="15" t="s">
        <v>542</v>
      </c>
      <c r="E192" s="42"/>
      <c r="F192" s="42"/>
      <c r="G192" s="42"/>
      <c r="H192" s="42"/>
    </row>
    <row r="193" spans="3:14" x14ac:dyDescent="0.3">
      <c r="C193" s="14" t="s">
        <v>22</v>
      </c>
      <c r="D193" s="15" t="s">
        <v>542</v>
      </c>
      <c r="E193" s="42">
        <f>E170*E39*E$73</f>
        <v>0</v>
      </c>
      <c r="F193" s="42">
        <f>F170*F39*F$73</f>
        <v>0</v>
      </c>
      <c r="G193" s="42">
        <f>G170*G39*G$73</f>
        <v>0</v>
      </c>
      <c r="H193" s="42">
        <f>H170*H39*H$73</f>
        <v>0</v>
      </c>
    </row>
    <row r="194" spans="3:14" x14ac:dyDescent="0.3">
      <c r="C194" s="102" t="s">
        <v>54</v>
      </c>
      <c r="D194" s="15" t="s">
        <v>542</v>
      </c>
      <c r="E194" s="45">
        <f>SUM(E185:E193)</f>
        <v>0</v>
      </c>
      <c r="F194" s="45">
        <f t="shared" ref="F194:H194" si="22">SUM(F185:F193)</f>
        <v>0</v>
      </c>
      <c r="G194" s="45">
        <f t="shared" si="22"/>
        <v>0</v>
      </c>
      <c r="H194" s="45">
        <f t="shared" si="22"/>
        <v>0</v>
      </c>
      <c r="J194" s="45">
        <f>SUM(E194:H194)</f>
        <v>0</v>
      </c>
    </row>
    <row r="195" spans="3:14" x14ac:dyDescent="0.3">
      <c r="C195" s="20"/>
      <c r="D195" s="15"/>
      <c r="E195" s="42"/>
    </row>
    <row r="196" spans="3:14" x14ac:dyDescent="0.3">
      <c r="C196" s="51" t="s">
        <v>543</v>
      </c>
      <c r="D196" s="207"/>
      <c r="E196" s="208"/>
      <c r="F196" s="208"/>
      <c r="G196" s="208"/>
      <c r="H196" s="208"/>
      <c r="J196" s="51"/>
      <c r="N196" s="169"/>
    </row>
    <row r="197" spans="3:14" x14ac:dyDescent="0.3">
      <c r="C197" s="209" t="s">
        <v>14</v>
      </c>
      <c r="D197" s="210" t="s">
        <v>69</v>
      </c>
      <c r="E197" s="211" t="e">
        <f t="shared" ref="E197:H203" si="23">E87*$J87*E162</f>
        <v>#VALUE!</v>
      </c>
      <c r="F197" s="211" t="e">
        <f t="shared" si="23"/>
        <v>#VALUE!</v>
      </c>
      <c r="G197" s="211" t="e">
        <f t="shared" si="23"/>
        <v>#VALUE!</v>
      </c>
      <c r="H197" s="211" t="e">
        <f t="shared" si="23"/>
        <v>#VALUE!</v>
      </c>
      <c r="J197" s="212"/>
    </row>
    <row r="198" spans="3:14" x14ac:dyDescent="0.3">
      <c r="C198" s="213" t="s">
        <v>15</v>
      </c>
      <c r="D198" s="210" t="s">
        <v>69</v>
      </c>
      <c r="E198" s="211" t="e">
        <f t="shared" si="23"/>
        <v>#VALUE!</v>
      </c>
      <c r="F198" s="211" t="e">
        <f t="shared" si="23"/>
        <v>#VALUE!</v>
      </c>
      <c r="G198" s="211" t="e">
        <f t="shared" si="23"/>
        <v>#VALUE!</v>
      </c>
      <c r="H198" s="211" t="e">
        <f t="shared" si="23"/>
        <v>#VALUE!</v>
      </c>
      <c r="J198" s="212"/>
    </row>
    <row r="199" spans="3:14" x14ac:dyDescent="0.3">
      <c r="C199" s="210" t="s">
        <v>16</v>
      </c>
      <c r="D199" s="210" t="s">
        <v>69</v>
      </c>
      <c r="E199" s="211" t="e">
        <f t="shared" si="23"/>
        <v>#VALUE!</v>
      </c>
      <c r="F199" s="211" t="e">
        <f t="shared" si="23"/>
        <v>#VALUE!</v>
      </c>
      <c r="G199" s="211" t="e">
        <f t="shared" si="23"/>
        <v>#VALUE!</v>
      </c>
      <c r="H199" s="211" t="e">
        <f t="shared" si="23"/>
        <v>#VALUE!</v>
      </c>
      <c r="J199" s="212"/>
    </row>
    <row r="200" spans="3:14" x14ac:dyDescent="0.3">
      <c r="C200" s="210" t="s">
        <v>17</v>
      </c>
      <c r="D200" s="210" t="s">
        <v>69</v>
      </c>
      <c r="E200" s="211" t="e">
        <f t="shared" si="23"/>
        <v>#VALUE!</v>
      </c>
      <c r="F200" s="211" t="e">
        <f t="shared" si="23"/>
        <v>#VALUE!</v>
      </c>
      <c r="G200" s="211" t="e">
        <f t="shared" si="23"/>
        <v>#VALUE!</v>
      </c>
      <c r="H200" s="211" t="e">
        <f t="shared" si="23"/>
        <v>#VALUE!</v>
      </c>
      <c r="J200" s="212"/>
    </row>
    <row r="201" spans="3:14" x14ac:dyDescent="0.3">
      <c r="C201" s="210" t="s">
        <v>18</v>
      </c>
      <c r="D201" s="210" t="s">
        <v>69</v>
      </c>
      <c r="E201" s="211" t="e">
        <f t="shared" si="23"/>
        <v>#VALUE!</v>
      </c>
      <c r="F201" s="211" t="e">
        <f t="shared" si="23"/>
        <v>#VALUE!</v>
      </c>
      <c r="G201" s="211" t="e">
        <f t="shared" si="23"/>
        <v>#VALUE!</v>
      </c>
      <c r="H201" s="211" t="e">
        <f t="shared" si="23"/>
        <v>#VALUE!</v>
      </c>
      <c r="J201" s="212"/>
    </row>
    <row r="202" spans="3:14" x14ac:dyDescent="0.3">
      <c r="C202" s="210" t="s">
        <v>19</v>
      </c>
      <c r="D202" s="210" t="s">
        <v>69</v>
      </c>
      <c r="E202" s="211" t="e">
        <f t="shared" si="23"/>
        <v>#VALUE!</v>
      </c>
      <c r="F202" s="211" t="e">
        <f t="shared" si="23"/>
        <v>#VALUE!</v>
      </c>
      <c r="G202" s="211" t="e">
        <f t="shared" si="23"/>
        <v>#VALUE!</v>
      </c>
      <c r="H202" s="211" t="e">
        <f t="shared" si="23"/>
        <v>#VALUE!</v>
      </c>
      <c r="J202" s="212"/>
    </row>
    <row r="203" spans="3:14" ht="15.95" customHeight="1" x14ac:dyDescent="0.3">
      <c r="C203" s="213" t="s">
        <v>20</v>
      </c>
      <c r="D203" s="210" t="s">
        <v>69</v>
      </c>
      <c r="E203" s="211" t="e">
        <f t="shared" si="23"/>
        <v>#VALUE!</v>
      </c>
      <c r="F203" s="211" t="e">
        <f t="shared" si="23"/>
        <v>#VALUE!</v>
      </c>
      <c r="G203" s="211" t="e">
        <f t="shared" si="23"/>
        <v>#VALUE!</v>
      </c>
      <c r="H203" s="211" t="e">
        <f t="shared" si="23"/>
        <v>#VALUE!</v>
      </c>
      <c r="J203" s="212"/>
    </row>
    <row r="204" spans="3:14" ht="15.95" customHeight="1" x14ac:dyDescent="0.3">
      <c r="C204" s="213" t="s">
        <v>21</v>
      </c>
      <c r="D204" s="210" t="s">
        <v>69</v>
      </c>
      <c r="E204" s="211"/>
      <c r="F204" s="211"/>
      <c r="G204" s="211"/>
      <c r="H204" s="211"/>
      <c r="J204" s="212"/>
      <c r="L204" s="17" t="s">
        <v>478</v>
      </c>
    </row>
    <row r="205" spans="3:14" x14ac:dyDescent="0.3">
      <c r="C205" s="213" t="s">
        <v>22</v>
      </c>
      <c r="D205" s="210" t="s">
        <v>69</v>
      </c>
      <c r="E205" s="211" t="e">
        <f>E95*$J95*E170</f>
        <v>#VALUE!</v>
      </c>
      <c r="F205" s="211" t="e">
        <f>F95*$J95*F170</f>
        <v>#VALUE!</v>
      </c>
      <c r="G205" s="211" t="e">
        <f>G95*$J95*G170</f>
        <v>#VALUE!</v>
      </c>
      <c r="H205" s="211" t="e">
        <f>H95*$J95*H170</f>
        <v>#VALUE!</v>
      </c>
      <c r="J205" s="212"/>
      <c r="L205" s="214" t="e">
        <f>AVERAGE(E197:H203,E205:H205)</f>
        <v>#VALUE!</v>
      </c>
    </row>
    <row r="206" spans="3:14" x14ac:dyDescent="0.3">
      <c r="C206" s="216" t="s">
        <v>54</v>
      </c>
      <c r="D206" s="210" t="s">
        <v>69</v>
      </c>
      <c r="E206" s="45" t="e">
        <f>SUM(E197:E205)</f>
        <v>#VALUE!</v>
      </c>
      <c r="F206" s="45" t="e">
        <f>SUM(F197:F205)</f>
        <v>#VALUE!</v>
      </c>
      <c r="G206" s="45" t="e">
        <f>SUM(G197:G205)</f>
        <v>#VALUE!</v>
      </c>
      <c r="H206" s="45" t="e">
        <f>SUM(H197:H205)</f>
        <v>#VALUE!</v>
      </c>
      <c r="J206" s="45" t="e">
        <f>SUM(E206:H206)</f>
        <v>#VALUE!</v>
      </c>
      <c r="L206" s="214"/>
    </row>
    <row r="207" spans="3:14" x14ac:dyDescent="0.3">
      <c r="C207" s="209"/>
      <c r="D207" s="210"/>
      <c r="E207" s="42"/>
      <c r="F207" s="211"/>
      <c r="G207" s="42"/>
      <c r="H207" s="42"/>
      <c r="J207" s="26"/>
    </row>
    <row r="208" spans="3:14" x14ac:dyDescent="0.3">
      <c r="C208" s="51" t="s">
        <v>522</v>
      </c>
      <c r="D208" s="84"/>
      <c r="E208" s="91"/>
    </row>
    <row r="209" spans="3:10" x14ac:dyDescent="0.3">
      <c r="C209" s="20" t="s">
        <v>14</v>
      </c>
      <c r="D209" s="84" t="s">
        <v>527</v>
      </c>
      <c r="E209" s="99" t="e">
        <f t="shared" ref="E209:H215" si="24">E162*E124</f>
        <v>#VALUE!</v>
      </c>
      <c r="F209" s="99" t="e">
        <f t="shared" si="24"/>
        <v>#VALUE!</v>
      </c>
      <c r="G209" s="99" t="e">
        <f t="shared" si="24"/>
        <v>#VALUE!</v>
      </c>
      <c r="H209" s="99" t="e">
        <f t="shared" si="24"/>
        <v>#VALUE!</v>
      </c>
    </row>
    <row r="210" spans="3:10" x14ac:dyDescent="0.3">
      <c r="C210" s="14" t="s">
        <v>15</v>
      </c>
      <c r="D210" s="84" t="s">
        <v>527</v>
      </c>
      <c r="E210" s="99">
        <f t="shared" si="24"/>
        <v>0</v>
      </c>
      <c r="F210" s="99">
        <f t="shared" si="24"/>
        <v>0</v>
      </c>
      <c r="G210" s="99">
        <f t="shared" si="24"/>
        <v>0</v>
      </c>
      <c r="H210" s="99">
        <f t="shared" si="24"/>
        <v>0</v>
      </c>
    </row>
    <row r="211" spans="3:10" x14ac:dyDescent="0.3">
      <c r="C211" s="15" t="s">
        <v>16</v>
      </c>
      <c r="D211" s="84" t="s">
        <v>527</v>
      </c>
      <c r="E211" s="99">
        <f t="shared" si="24"/>
        <v>0</v>
      </c>
      <c r="F211" s="99">
        <f t="shared" si="24"/>
        <v>0</v>
      </c>
      <c r="G211" s="99">
        <f t="shared" si="24"/>
        <v>0</v>
      </c>
      <c r="H211" s="99">
        <f t="shared" si="24"/>
        <v>0</v>
      </c>
    </row>
    <row r="212" spans="3:10" x14ac:dyDescent="0.3">
      <c r="C212" s="15" t="s">
        <v>17</v>
      </c>
      <c r="D212" s="84" t="s">
        <v>527</v>
      </c>
      <c r="E212" s="99">
        <f t="shared" si="24"/>
        <v>0</v>
      </c>
      <c r="F212" s="99">
        <f t="shared" si="24"/>
        <v>0</v>
      </c>
      <c r="G212" s="99">
        <f t="shared" si="24"/>
        <v>0</v>
      </c>
      <c r="H212" s="99">
        <f t="shared" si="24"/>
        <v>0</v>
      </c>
    </row>
    <row r="213" spans="3:10" x14ac:dyDescent="0.3">
      <c r="C213" s="15" t="s">
        <v>18</v>
      </c>
      <c r="D213" s="84" t="s">
        <v>527</v>
      </c>
      <c r="E213" s="99">
        <f t="shared" si="24"/>
        <v>0</v>
      </c>
      <c r="F213" s="99">
        <f t="shared" si="24"/>
        <v>0</v>
      </c>
      <c r="G213" s="99">
        <f t="shared" si="24"/>
        <v>0</v>
      </c>
      <c r="H213" s="99">
        <f t="shared" si="24"/>
        <v>0</v>
      </c>
    </row>
    <row r="214" spans="3:10" x14ac:dyDescent="0.3">
      <c r="C214" s="15" t="s">
        <v>19</v>
      </c>
      <c r="D214" s="84" t="s">
        <v>527</v>
      </c>
      <c r="E214" s="99">
        <f t="shared" si="24"/>
        <v>0</v>
      </c>
      <c r="F214" s="99">
        <f t="shared" si="24"/>
        <v>0</v>
      </c>
      <c r="G214" s="99">
        <f t="shared" si="24"/>
        <v>0</v>
      </c>
      <c r="H214" s="99">
        <f t="shared" si="24"/>
        <v>0</v>
      </c>
    </row>
    <row r="215" spans="3:10" x14ac:dyDescent="0.3">
      <c r="C215" s="14" t="s">
        <v>20</v>
      </c>
      <c r="D215" s="84" t="s">
        <v>527</v>
      </c>
      <c r="E215" s="99">
        <f t="shared" si="24"/>
        <v>0</v>
      </c>
      <c r="F215" s="99">
        <f t="shared" si="24"/>
        <v>0</v>
      </c>
      <c r="G215" s="99">
        <f t="shared" si="24"/>
        <v>0</v>
      </c>
      <c r="H215" s="99">
        <f t="shared" si="24"/>
        <v>0</v>
      </c>
    </row>
    <row r="216" spans="3:10" x14ac:dyDescent="0.3">
      <c r="C216" s="14" t="s">
        <v>21</v>
      </c>
      <c r="D216" s="84" t="s">
        <v>527</v>
      </c>
      <c r="E216" s="99"/>
      <c r="F216" s="99"/>
      <c r="G216" s="99"/>
      <c r="H216" s="99"/>
    </row>
    <row r="217" spans="3:10" x14ac:dyDescent="0.3">
      <c r="C217" s="14" t="s">
        <v>22</v>
      </c>
      <c r="D217" s="84" t="s">
        <v>527</v>
      </c>
      <c r="E217" s="99" t="e">
        <f>E170*E132</f>
        <v>#N/A</v>
      </c>
      <c r="F217" s="99" t="e">
        <f>F170*F132</f>
        <v>#N/A</v>
      </c>
      <c r="G217" s="99" t="e">
        <f>G170*G132</f>
        <v>#N/A</v>
      </c>
      <c r="H217" s="99" t="e">
        <f>H170*H132</f>
        <v>#N/A</v>
      </c>
    </row>
    <row r="218" spans="3:10" x14ac:dyDescent="0.3">
      <c r="C218" s="102" t="s">
        <v>54</v>
      </c>
      <c r="D218" s="133" t="s">
        <v>527</v>
      </c>
      <c r="E218" s="136" t="e">
        <f>SUM(E209:E217)</f>
        <v>#VALUE!</v>
      </c>
      <c r="F218" s="136" t="e">
        <f t="shared" ref="F218:H218" si="25">SUM(F209:F217)</f>
        <v>#VALUE!</v>
      </c>
      <c r="G218" s="136" t="e">
        <f t="shared" si="25"/>
        <v>#VALUE!</v>
      </c>
      <c r="H218" s="136" t="e">
        <f t="shared" si="25"/>
        <v>#VALUE!</v>
      </c>
      <c r="J218" s="136" t="e">
        <f>SUM(E218:H218)</f>
        <v>#VALUE!</v>
      </c>
    </row>
    <row r="219" spans="3:10" x14ac:dyDescent="0.3">
      <c r="C219" s="20"/>
      <c r="E219" s="42"/>
    </row>
    <row r="220" spans="3:10" x14ac:dyDescent="0.3">
      <c r="C220" s="51" t="s">
        <v>544</v>
      </c>
      <c r="D220" s="207"/>
      <c r="E220" s="208"/>
    </row>
    <row r="221" spans="3:10" x14ac:dyDescent="0.3">
      <c r="C221" s="209" t="s">
        <v>14</v>
      </c>
      <c r="D221" s="207" t="s">
        <v>605</v>
      </c>
      <c r="E221" s="97" t="e">
        <f>E209*$E$73</f>
        <v>#VALUE!</v>
      </c>
      <c r="F221" s="97" t="e">
        <f t="shared" ref="F221:H221" si="26">F209*$E$73</f>
        <v>#VALUE!</v>
      </c>
      <c r="G221" s="97" t="e">
        <f t="shared" si="26"/>
        <v>#VALUE!</v>
      </c>
      <c r="H221" s="97" t="e">
        <f t="shared" si="26"/>
        <v>#VALUE!</v>
      </c>
    </row>
    <row r="222" spans="3:10" x14ac:dyDescent="0.3">
      <c r="C222" s="213" t="s">
        <v>15</v>
      </c>
      <c r="D222" s="207" t="s">
        <v>605</v>
      </c>
      <c r="E222" s="97">
        <f t="shared" ref="E222:H229" si="27">E210*$E$73</f>
        <v>0</v>
      </c>
      <c r="F222" s="97">
        <f t="shared" si="27"/>
        <v>0</v>
      </c>
      <c r="G222" s="97">
        <f t="shared" si="27"/>
        <v>0</v>
      </c>
      <c r="H222" s="97">
        <f t="shared" si="27"/>
        <v>0</v>
      </c>
    </row>
    <row r="223" spans="3:10" x14ac:dyDescent="0.3">
      <c r="C223" s="210" t="s">
        <v>16</v>
      </c>
      <c r="D223" s="207" t="s">
        <v>605</v>
      </c>
      <c r="E223" s="97">
        <f t="shared" si="27"/>
        <v>0</v>
      </c>
      <c r="F223" s="97">
        <f t="shared" si="27"/>
        <v>0</v>
      </c>
      <c r="G223" s="97">
        <f t="shared" si="27"/>
        <v>0</v>
      </c>
      <c r="H223" s="97">
        <f t="shared" si="27"/>
        <v>0</v>
      </c>
    </row>
    <row r="224" spans="3:10" x14ac:dyDescent="0.3">
      <c r="C224" s="210" t="s">
        <v>17</v>
      </c>
      <c r="D224" s="207" t="s">
        <v>605</v>
      </c>
      <c r="E224" s="97">
        <f t="shared" si="27"/>
        <v>0</v>
      </c>
      <c r="F224" s="97">
        <f t="shared" si="27"/>
        <v>0</v>
      </c>
      <c r="G224" s="97">
        <f t="shared" si="27"/>
        <v>0</v>
      </c>
      <c r="H224" s="97">
        <f t="shared" si="27"/>
        <v>0</v>
      </c>
    </row>
    <row r="225" spans="3:12" x14ac:dyDescent="0.3">
      <c r="C225" s="210" t="s">
        <v>18</v>
      </c>
      <c r="D225" s="207" t="s">
        <v>605</v>
      </c>
      <c r="E225" s="97">
        <f t="shared" si="27"/>
        <v>0</v>
      </c>
      <c r="F225" s="97">
        <f t="shared" si="27"/>
        <v>0</v>
      </c>
      <c r="G225" s="97">
        <f t="shared" si="27"/>
        <v>0</v>
      </c>
      <c r="H225" s="97">
        <f t="shared" si="27"/>
        <v>0</v>
      </c>
    </row>
    <row r="226" spans="3:12" x14ac:dyDescent="0.3">
      <c r="C226" s="210" t="s">
        <v>19</v>
      </c>
      <c r="D226" s="207" t="s">
        <v>605</v>
      </c>
      <c r="E226" s="97">
        <f t="shared" si="27"/>
        <v>0</v>
      </c>
      <c r="F226" s="97">
        <f t="shared" si="27"/>
        <v>0</v>
      </c>
      <c r="G226" s="97">
        <f t="shared" si="27"/>
        <v>0</v>
      </c>
      <c r="H226" s="97">
        <f t="shared" si="27"/>
        <v>0</v>
      </c>
    </row>
    <row r="227" spans="3:12" x14ac:dyDescent="0.3">
      <c r="C227" s="213" t="s">
        <v>20</v>
      </c>
      <c r="D227" s="207" t="s">
        <v>605</v>
      </c>
      <c r="E227" s="97">
        <f t="shared" si="27"/>
        <v>0</v>
      </c>
      <c r="F227" s="97">
        <f t="shared" si="27"/>
        <v>0</v>
      </c>
      <c r="G227" s="97">
        <f t="shared" si="27"/>
        <v>0</v>
      </c>
      <c r="H227" s="97">
        <f t="shared" si="27"/>
        <v>0</v>
      </c>
    </row>
    <row r="228" spans="3:12" x14ac:dyDescent="0.3">
      <c r="C228" s="213" t="s">
        <v>21</v>
      </c>
      <c r="D228" s="207" t="s">
        <v>605</v>
      </c>
      <c r="E228" s="97"/>
      <c r="F228" s="97"/>
      <c r="G228" s="97"/>
      <c r="H228" s="97"/>
    </row>
    <row r="229" spans="3:12" x14ac:dyDescent="0.3">
      <c r="C229" s="213" t="s">
        <v>22</v>
      </c>
      <c r="D229" s="207" t="s">
        <v>605</v>
      </c>
      <c r="E229" s="97" t="e">
        <f t="shared" si="27"/>
        <v>#N/A</v>
      </c>
      <c r="F229" s="97" t="e">
        <f t="shared" si="27"/>
        <v>#N/A</v>
      </c>
      <c r="G229" s="97" t="e">
        <f t="shared" si="27"/>
        <v>#N/A</v>
      </c>
      <c r="H229" s="97" t="e">
        <f t="shared" si="27"/>
        <v>#N/A</v>
      </c>
    </row>
    <row r="230" spans="3:12" x14ac:dyDescent="0.3">
      <c r="C230" s="216" t="s">
        <v>54</v>
      </c>
      <c r="D230" s="218" t="s">
        <v>605</v>
      </c>
      <c r="E230" s="217" t="e">
        <f>SUM(E221:E229)</f>
        <v>#VALUE!</v>
      </c>
      <c r="F230" s="217" t="e">
        <f>SUM(F221:F229)</f>
        <v>#VALUE!</v>
      </c>
      <c r="G230" s="217" t="e">
        <f>SUM(G221:G229)</f>
        <v>#VALUE!</v>
      </c>
      <c r="H230" s="217" t="e">
        <f>SUM(H221:H229)</f>
        <v>#VALUE!</v>
      </c>
      <c r="J230" s="217" t="e">
        <f>SUM(E230:H230)</f>
        <v>#VALUE!</v>
      </c>
    </row>
    <row r="231" spans="3:12" x14ac:dyDescent="0.3">
      <c r="C231" s="209"/>
      <c r="E231" s="42"/>
    </row>
    <row r="232" spans="3:12" x14ac:dyDescent="0.3">
      <c r="C232" s="51" t="s">
        <v>313</v>
      </c>
      <c r="E232" s="91"/>
      <c r="L232" s="169"/>
    </row>
    <row r="233" spans="3:12" x14ac:dyDescent="0.3">
      <c r="C233" s="20" t="s">
        <v>14</v>
      </c>
      <c r="D233" s="84" t="s">
        <v>272</v>
      </c>
      <c r="E233" s="42" t="e">
        <f t="shared" ref="E233:H239" si="28">E162*E135</f>
        <v>#VALUE!</v>
      </c>
      <c r="F233" s="42" t="e">
        <f t="shared" si="28"/>
        <v>#VALUE!</v>
      </c>
      <c r="G233" s="42" t="e">
        <f t="shared" si="28"/>
        <v>#VALUE!</v>
      </c>
      <c r="H233" s="42" t="e">
        <f t="shared" si="28"/>
        <v>#VALUE!</v>
      </c>
    </row>
    <row r="234" spans="3:12" x14ac:dyDescent="0.3">
      <c r="C234" s="14" t="s">
        <v>15</v>
      </c>
      <c r="D234" s="84" t="s">
        <v>272</v>
      </c>
      <c r="E234" s="42">
        <f t="shared" si="28"/>
        <v>0</v>
      </c>
      <c r="F234" s="42">
        <f t="shared" si="28"/>
        <v>0</v>
      </c>
      <c r="G234" s="42">
        <f t="shared" si="28"/>
        <v>0</v>
      </c>
      <c r="H234" s="42">
        <f t="shared" si="28"/>
        <v>0</v>
      </c>
    </row>
    <row r="235" spans="3:12" x14ac:dyDescent="0.3">
      <c r="C235" s="15" t="s">
        <v>16</v>
      </c>
      <c r="D235" s="84" t="s">
        <v>272</v>
      </c>
      <c r="E235" s="42">
        <f t="shared" si="28"/>
        <v>0</v>
      </c>
      <c r="F235" s="42">
        <f t="shared" si="28"/>
        <v>0</v>
      </c>
      <c r="G235" s="42">
        <f t="shared" si="28"/>
        <v>0</v>
      </c>
      <c r="H235" s="42">
        <f t="shared" si="28"/>
        <v>0</v>
      </c>
    </row>
    <row r="236" spans="3:12" x14ac:dyDescent="0.3">
      <c r="C236" s="15" t="s">
        <v>17</v>
      </c>
      <c r="D236" s="84" t="s">
        <v>272</v>
      </c>
      <c r="E236" s="42">
        <f t="shared" si="28"/>
        <v>0</v>
      </c>
      <c r="F236" s="42">
        <f t="shared" si="28"/>
        <v>0</v>
      </c>
      <c r="G236" s="42">
        <f t="shared" si="28"/>
        <v>0</v>
      </c>
      <c r="H236" s="42">
        <f t="shared" si="28"/>
        <v>0</v>
      </c>
    </row>
    <row r="237" spans="3:12" x14ac:dyDescent="0.3">
      <c r="C237" s="15" t="s">
        <v>18</v>
      </c>
      <c r="D237" s="84" t="s">
        <v>272</v>
      </c>
      <c r="E237" s="42">
        <f t="shared" si="28"/>
        <v>0</v>
      </c>
      <c r="F237" s="42">
        <f t="shared" si="28"/>
        <v>0</v>
      </c>
      <c r="G237" s="42">
        <f t="shared" si="28"/>
        <v>0</v>
      </c>
      <c r="H237" s="42">
        <f t="shared" si="28"/>
        <v>0</v>
      </c>
    </row>
    <row r="238" spans="3:12" x14ac:dyDescent="0.3">
      <c r="C238" s="15" t="s">
        <v>19</v>
      </c>
      <c r="D238" s="84" t="s">
        <v>272</v>
      </c>
      <c r="E238" s="42">
        <f t="shared" si="28"/>
        <v>0</v>
      </c>
      <c r="F238" s="42">
        <f t="shared" si="28"/>
        <v>0</v>
      </c>
      <c r="G238" s="42">
        <f t="shared" si="28"/>
        <v>0</v>
      </c>
      <c r="H238" s="42">
        <f t="shared" si="28"/>
        <v>0</v>
      </c>
    </row>
    <row r="239" spans="3:12" x14ac:dyDescent="0.3">
      <c r="C239" s="14" t="s">
        <v>20</v>
      </c>
      <c r="D239" s="84" t="s">
        <v>272</v>
      </c>
      <c r="E239" s="42">
        <f t="shared" si="28"/>
        <v>0</v>
      </c>
      <c r="F239" s="42">
        <f t="shared" si="28"/>
        <v>0</v>
      </c>
      <c r="G239" s="42">
        <f t="shared" si="28"/>
        <v>0</v>
      </c>
      <c r="H239" s="42">
        <f t="shared" si="28"/>
        <v>0</v>
      </c>
    </row>
    <row r="240" spans="3:12" x14ac:dyDescent="0.3">
      <c r="C240" s="14" t="s">
        <v>21</v>
      </c>
      <c r="D240" s="84" t="s">
        <v>272</v>
      </c>
      <c r="E240" s="42"/>
      <c r="F240" s="42"/>
      <c r="G240" s="42"/>
      <c r="H240" s="42"/>
    </row>
    <row r="241" spans="3:10" x14ac:dyDescent="0.3">
      <c r="C241" s="14" t="s">
        <v>22</v>
      </c>
      <c r="D241" s="84" t="s">
        <v>272</v>
      </c>
      <c r="E241" s="42" t="e">
        <f>E170*E143</f>
        <v>#N/A</v>
      </c>
      <c r="F241" s="42" t="e">
        <f>F170*F143</f>
        <v>#N/A</v>
      </c>
      <c r="G241" s="42" t="e">
        <f>G170*G143</f>
        <v>#N/A</v>
      </c>
      <c r="H241" s="42" t="e">
        <f>H170*H143</f>
        <v>#N/A</v>
      </c>
    </row>
    <row r="242" spans="3:10" x14ac:dyDescent="0.3">
      <c r="C242" s="102" t="s">
        <v>54</v>
      </c>
      <c r="D242" s="84" t="s">
        <v>272</v>
      </c>
      <c r="E242" s="45" t="e">
        <f>SUM(E233:E241)</f>
        <v>#VALUE!</v>
      </c>
      <c r="F242" s="45" t="e">
        <f t="shared" ref="F242:H242" si="29">SUM(F233:F241)</f>
        <v>#VALUE!</v>
      </c>
      <c r="G242" s="45" t="e">
        <f t="shared" si="29"/>
        <v>#VALUE!</v>
      </c>
      <c r="H242" s="45" t="e">
        <f t="shared" si="29"/>
        <v>#VALUE!</v>
      </c>
      <c r="J242" s="45" t="e">
        <f>SUM(E242:H242)</f>
        <v>#VALUE!</v>
      </c>
    </row>
    <row r="244" spans="3:10" x14ac:dyDescent="0.3">
      <c r="C244" s="51" t="s">
        <v>546</v>
      </c>
      <c r="E244" s="208"/>
    </row>
    <row r="245" spans="3:10" x14ac:dyDescent="0.3">
      <c r="C245" s="209" t="s">
        <v>14</v>
      </c>
      <c r="D245" s="207" t="s">
        <v>69</v>
      </c>
      <c r="E245" s="42" t="e">
        <f t="shared" ref="E245:E251" si="30">E233*$J148</f>
        <v>#VALUE!</v>
      </c>
      <c r="F245" s="42" t="e">
        <f t="shared" ref="F245:H245" si="31">F233*$J148</f>
        <v>#VALUE!</v>
      </c>
      <c r="G245" s="42" t="e">
        <f t="shared" si="31"/>
        <v>#VALUE!</v>
      </c>
      <c r="H245" s="42" t="e">
        <f t="shared" si="31"/>
        <v>#VALUE!</v>
      </c>
    </row>
    <row r="246" spans="3:10" x14ac:dyDescent="0.3">
      <c r="C246" s="213" t="s">
        <v>15</v>
      </c>
      <c r="D246" s="207" t="s">
        <v>69</v>
      </c>
      <c r="E246" s="42">
        <f t="shared" si="30"/>
        <v>0</v>
      </c>
      <c r="F246" s="42">
        <f t="shared" ref="F246:H251" si="32">F234*$J149</f>
        <v>0</v>
      </c>
      <c r="G246" s="42">
        <f t="shared" si="32"/>
        <v>0</v>
      </c>
      <c r="H246" s="42">
        <f t="shared" si="32"/>
        <v>0</v>
      </c>
    </row>
    <row r="247" spans="3:10" x14ac:dyDescent="0.3">
      <c r="C247" s="210" t="s">
        <v>16</v>
      </c>
      <c r="D247" s="207" t="s">
        <v>69</v>
      </c>
      <c r="E247" s="42">
        <f t="shared" si="30"/>
        <v>0</v>
      </c>
      <c r="F247" s="42">
        <f t="shared" si="32"/>
        <v>0</v>
      </c>
      <c r="G247" s="42">
        <f t="shared" si="32"/>
        <v>0</v>
      </c>
      <c r="H247" s="42">
        <f t="shared" si="32"/>
        <v>0</v>
      </c>
    </row>
    <row r="248" spans="3:10" x14ac:dyDescent="0.3">
      <c r="C248" s="210" t="s">
        <v>17</v>
      </c>
      <c r="D248" s="207" t="s">
        <v>69</v>
      </c>
      <c r="E248" s="42">
        <f t="shared" si="30"/>
        <v>0</v>
      </c>
      <c r="F248" s="42">
        <f t="shared" si="32"/>
        <v>0</v>
      </c>
      <c r="G248" s="42">
        <f t="shared" si="32"/>
        <v>0</v>
      </c>
      <c r="H248" s="42">
        <f t="shared" si="32"/>
        <v>0</v>
      </c>
    </row>
    <row r="249" spans="3:10" x14ac:dyDescent="0.3">
      <c r="C249" s="210" t="s">
        <v>18</v>
      </c>
      <c r="D249" s="207" t="s">
        <v>69</v>
      </c>
      <c r="E249" s="42">
        <f t="shared" si="30"/>
        <v>0</v>
      </c>
      <c r="F249" s="42">
        <f t="shared" si="32"/>
        <v>0</v>
      </c>
      <c r="G249" s="42">
        <f t="shared" si="32"/>
        <v>0</v>
      </c>
      <c r="H249" s="42">
        <f t="shared" si="32"/>
        <v>0</v>
      </c>
    </row>
    <row r="250" spans="3:10" x14ac:dyDescent="0.3">
      <c r="C250" s="210" t="s">
        <v>19</v>
      </c>
      <c r="D250" s="207" t="s">
        <v>69</v>
      </c>
      <c r="E250" s="42">
        <f t="shared" si="30"/>
        <v>0</v>
      </c>
      <c r="F250" s="42">
        <f t="shared" si="32"/>
        <v>0</v>
      </c>
      <c r="G250" s="42">
        <f t="shared" si="32"/>
        <v>0</v>
      </c>
      <c r="H250" s="42">
        <f t="shared" si="32"/>
        <v>0</v>
      </c>
    </row>
    <row r="251" spans="3:10" x14ac:dyDescent="0.3">
      <c r="C251" s="213" t="s">
        <v>20</v>
      </c>
      <c r="D251" s="207" t="s">
        <v>69</v>
      </c>
      <c r="E251" s="42">
        <f t="shared" si="30"/>
        <v>0</v>
      </c>
      <c r="F251" s="42">
        <f t="shared" si="32"/>
        <v>0</v>
      </c>
      <c r="G251" s="42">
        <f t="shared" si="32"/>
        <v>0</v>
      </c>
      <c r="H251" s="42">
        <f t="shared" si="32"/>
        <v>0</v>
      </c>
    </row>
    <row r="252" spans="3:10" x14ac:dyDescent="0.3">
      <c r="C252" s="213" t="s">
        <v>21</v>
      </c>
      <c r="D252" s="207" t="s">
        <v>69</v>
      </c>
      <c r="E252" s="42"/>
      <c r="F252" s="42"/>
      <c r="G252" s="42"/>
      <c r="H252" s="42"/>
    </row>
    <row r="253" spans="3:10" x14ac:dyDescent="0.3">
      <c r="C253" s="213" t="s">
        <v>22</v>
      </c>
      <c r="D253" s="207" t="s">
        <v>69</v>
      </c>
      <c r="E253" s="42" t="e">
        <f>E241*$J156</f>
        <v>#N/A</v>
      </c>
      <c r="F253" s="42" t="e">
        <f>F241*$J156</f>
        <v>#N/A</v>
      </c>
      <c r="G253" s="42" t="e">
        <f>G241*$J156</f>
        <v>#N/A</v>
      </c>
      <c r="H253" s="42" t="e">
        <f>H241*$J156</f>
        <v>#N/A</v>
      </c>
    </row>
    <row r="254" spans="3:10" x14ac:dyDescent="0.3">
      <c r="C254" s="216" t="s">
        <v>54</v>
      </c>
      <c r="D254" s="207" t="s">
        <v>69</v>
      </c>
      <c r="E254" s="45" t="e">
        <f>SUM(E245:E253)</f>
        <v>#VALUE!</v>
      </c>
      <c r="F254" s="45" t="e">
        <f>SUM(F245:F253)</f>
        <v>#VALUE!</v>
      </c>
      <c r="G254" s="45" t="e">
        <f>SUM(G245:G253)</f>
        <v>#VALUE!</v>
      </c>
      <c r="H254" s="45" t="e">
        <f>SUM(H245:H253)</f>
        <v>#VALUE!</v>
      </c>
      <c r="J254" s="45" t="e">
        <f>SUM(E254:H254)</f>
        <v>#VALUE!</v>
      </c>
    </row>
    <row r="256" spans="3:10" x14ac:dyDescent="0.3">
      <c r="C256" s="51" t="s">
        <v>547</v>
      </c>
    </row>
    <row r="257" spans="3:10" x14ac:dyDescent="0.3">
      <c r="C257" s="209" t="s">
        <v>14</v>
      </c>
      <c r="D257" s="207" t="s">
        <v>548</v>
      </c>
      <c r="E257" s="160" t="e">
        <f t="shared" ref="E257:H263" si="33">E162*(M124+U124+AC124+AK124)</f>
        <v>#DIV/0!</v>
      </c>
      <c r="F257" s="160" t="e">
        <f t="shared" si="33"/>
        <v>#DIV/0!</v>
      </c>
      <c r="G257" s="160" t="e">
        <f t="shared" si="33"/>
        <v>#DIV/0!</v>
      </c>
      <c r="H257" s="160" t="e">
        <f t="shared" si="33"/>
        <v>#DIV/0!</v>
      </c>
    </row>
    <row r="258" spans="3:10" x14ac:dyDescent="0.3">
      <c r="C258" s="213" t="s">
        <v>15</v>
      </c>
      <c r="D258" s="207" t="s">
        <v>548</v>
      </c>
      <c r="E258" s="130">
        <f t="shared" si="33"/>
        <v>0</v>
      </c>
      <c r="F258" s="130">
        <f t="shared" si="33"/>
        <v>0</v>
      </c>
      <c r="G258" s="130">
        <f t="shared" si="33"/>
        <v>0</v>
      </c>
      <c r="H258" s="130">
        <f t="shared" si="33"/>
        <v>0</v>
      </c>
    </row>
    <row r="259" spans="3:10" x14ac:dyDescent="0.3">
      <c r="C259" s="210" t="s">
        <v>16</v>
      </c>
      <c r="D259" s="207" t="s">
        <v>548</v>
      </c>
      <c r="E259" s="130">
        <f t="shared" si="33"/>
        <v>0</v>
      </c>
      <c r="F259" s="130">
        <f t="shared" si="33"/>
        <v>0</v>
      </c>
      <c r="G259" s="130">
        <f t="shared" si="33"/>
        <v>0</v>
      </c>
      <c r="H259" s="130">
        <f t="shared" si="33"/>
        <v>0</v>
      </c>
    </row>
    <row r="260" spans="3:10" x14ac:dyDescent="0.3">
      <c r="C260" s="210" t="s">
        <v>17</v>
      </c>
      <c r="D260" s="207" t="s">
        <v>548</v>
      </c>
      <c r="E260" s="130">
        <f t="shared" si="33"/>
        <v>0</v>
      </c>
      <c r="F260" s="130">
        <f t="shared" si="33"/>
        <v>0</v>
      </c>
      <c r="G260" s="130">
        <f t="shared" si="33"/>
        <v>0</v>
      </c>
      <c r="H260" s="130">
        <f t="shared" si="33"/>
        <v>0</v>
      </c>
    </row>
    <row r="261" spans="3:10" x14ac:dyDescent="0.3">
      <c r="C261" s="210" t="s">
        <v>18</v>
      </c>
      <c r="D261" s="207" t="s">
        <v>548</v>
      </c>
      <c r="E261" s="130">
        <f t="shared" si="33"/>
        <v>0</v>
      </c>
      <c r="F261" s="130">
        <f t="shared" si="33"/>
        <v>0</v>
      </c>
      <c r="G261" s="130">
        <f t="shared" si="33"/>
        <v>0</v>
      </c>
      <c r="H261" s="130">
        <f t="shared" si="33"/>
        <v>0</v>
      </c>
    </row>
    <row r="262" spans="3:10" x14ac:dyDescent="0.3">
      <c r="C262" s="210" t="s">
        <v>19</v>
      </c>
      <c r="D262" s="207" t="s">
        <v>548</v>
      </c>
      <c r="E262" s="130">
        <f t="shared" si="33"/>
        <v>0</v>
      </c>
      <c r="F262" s="130">
        <f t="shared" si="33"/>
        <v>0</v>
      </c>
      <c r="G262" s="130">
        <f t="shared" si="33"/>
        <v>0</v>
      </c>
      <c r="H262" s="130">
        <f t="shared" si="33"/>
        <v>0</v>
      </c>
    </row>
    <row r="263" spans="3:10" x14ac:dyDescent="0.3">
      <c r="C263" s="213" t="s">
        <v>20</v>
      </c>
      <c r="D263" s="207" t="s">
        <v>548</v>
      </c>
      <c r="E263" s="130">
        <f t="shared" si="33"/>
        <v>0</v>
      </c>
      <c r="F263" s="130">
        <f t="shared" si="33"/>
        <v>0</v>
      </c>
      <c r="G263" s="130">
        <f t="shared" si="33"/>
        <v>0</v>
      </c>
      <c r="H263" s="130">
        <f t="shared" si="33"/>
        <v>0</v>
      </c>
    </row>
    <row r="264" spans="3:10" x14ac:dyDescent="0.3">
      <c r="C264" s="213" t="s">
        <v>21</v>
      </c>
      <c r="D264" s="207" t="s">
        <v>548</v>
      </c>
      <c r="E264" s="160"/>
      <c r="F264" s="160"/>
      <c r="G264" s="160"/>
      <c r="H264" s="160"/>
    </row>
    <row r="265" spans="3:10" x14ac:dyDescent="0.3">
      <c r="C265" s="213" t="s">
        <v>22</v>
      </c>
      <c r="D265" s="207" t="s">
        <v>548</v>
      </c>
      <c r="E265" s="160" t="e">
        <f>E170*(M132+U132+AC132+AK132)</f>
        <v>#DIV/0!</v>
      </c>
      <c r="F265" s="160" t="e">
        <f>F170*(N132+V132+AD132+AL132)</f>
        <v>#DIV/0!</v>
      </c>
      <c r="G265" s="160" t="e">
        <f>G170*(O132+W132+AE132+AM132)</f>
        <v>#DIV/0!</v>
      </c>
      <c r="H265" s="160" t="e">
        <f>H170*(P132+X132+AF132+AN132)</f>
        <v>#DIV/0!</v>
      </c>
    </row>
    <row r="266" spans="3:10" x14ac:dyDescent="0.3">
      <c r="C266" s="102" t="s">
        <v>54</v>
      </c>
      <c r="D266" s="84" t="s">
        <v>548</v>
      </c>
      <c r="E266" s="200" t="e">
        <f>SUM(E257:E265)</f>
        <v>#DIV/0!</v>
      </c>
      <c r="F266" s="200" t="e">
        <f t="shared" ref="F266:H266" si="34">SUM(F257:F265)</f>
        <v>#DIV/0!</v>
      </c>
      <c r="G266" s="200" t="e">
        <f t="shared" si="34"/>
        <v>#DIV/0!</v>
      </c>
      <c r="H266" s="200" t="e">
        <f t="shared" si="34"/>
        <v>#DIV/0!</v>
      </c>
      <c r="J266" s="200" t="e">
        <f>SUM(E266:H266)</f>
        <v>#DIV/0!</v>
      </c>
    </row>
    <row r="268" spans="3:10" x14ac:dyDescent="0.3">
      <c r="C268" s="51" t="s">
        <v>549</v>
      </c>
    </row>
    <row r="269" spans="3:10" x14ac:dyDescent="0.3">
      <c r="C269" s="209" t="s">
        <v>14</v>
      </c>
      <c r="D269" s="207" t="s">
        <v>550</v>
      </c>
      <c r="E269" s="160" t="e">
        <f>E257*$E$73</f>
        <v>#DIV/0!</v>
      </c>
      <c r="F269" s="160" t="e">
        <f t="shared" ref="F269:H269" si="35">F257*$E$73</f>
        <v>#DIV/0!</v>
      </c>
      <c r="G269" s="160" t="e">
        <f t="shared" si="35"/>
        <v>#DIV/0!</v>
      </c>
      <c r="H269" s="160" t="e">
        <f t="shared" si="35"/>
        <v>#DIV/0!</v>
      </c>
    </row>
    <row r="270" spans="3:10" x14ac:dyDescent="0.3">
      <c r="C270" s="213" t="s">
        <v>15</v>
      </c>
      <c r="D270" s="207" t="s">
        <v>550</v>
      </c>
      <c r="E270" s="130">
        <f t="shared" ref="E270:H277" si="36">E258*$E$73</f>
        <v>0</v>
      </c>
      <c r="F270" s="130">
        <f t="shared" si="36"/>
        <v>0</v>
      </c>
      <c r="G270" s="130">
        <f t="shared" si="36"/>
        <v>0</v>
      </c>
      <c r="H270" s="130">
        <f t="shared" si="36"/>
        <v>0</v>
      </c>
    </row>
    <row r="271" spans="3:10" x14ac:dyDescent="0.3">
      <c r="C271" s="210" t="s">
        <v>16</v>
      </c>
      <c r="D271" s="207" t="s">
        <v>550</v>
      </c>
      <c r="E271" s="130">
        <f t="shared" si="36"/>
        <v>0</v>
      </c>
      <c r="F271" s="130">
        <f t="shared" si="36"/>
        <v>0</v>
      </c>
      <c r="G271" s="130">
        <f t="shared" si="36"/>
        <v>0</v>
      </c>
      <c r="H271" s="130">
        <f t="shared" si="36"/>
        <v>0</v>
      </c>
    </row>
    <row r="272" spans="3:10" x14ac:dyDescent="0.3">
      <c r="C272" s="210" t="s">
        <v>17</v>
      </c>
      <c r="D272" s="207" t="s">
        <v>550</v>
      </c>
      <c r="E272" s="130">
        <f t="shared" si="36"/>
        <v>0</v>
      </c>
      <c r="F272" s="130">
        <f t="shared" si="36"/>
        <v>0</v>
      </c>
      <c r="G272" s="130">
        <f t="shared" si="36"/>
        <v>0</v>
      </c>
      <c r="H272" s="130">
        <f t="shared" si="36"/>
        <v>0</v>
      </c>
    </row>
    <row r="273" spans="3:10" x14ac:dyDescent="0.3">
      <c r="C273" s="210" t="s">
        <v>18</v>
      </c>
      <c r="D273" s="207" t="s">
        <v>550</v>
      </c>
      <c r="E273" s="130">
        <f t="shared" si="36"/>
        <v>0</v>
      </c>
      <c r="F273" s="130">
        <f t="shared" si="36"/>
        <v>0</v>
      </c>
      <c r="G273" s="130">
        <f t="shared" si="36"/>
        <v>0</v>
      </c>
      <c r="H273" s="130">
        <f t="shared" si="36"/>
        <v>0</v>
      </c>
    </row>
    <row r="274" spans="3:10" x14ac:dyDescent="0.3">
      <c r="C274" s="210" t="s">
        <v>19</v>
      </c>
      <c r="D274" s="207" t="s">
        <v>550</v>
      </c>
      <c r="E274" s="130">
        <f t="shared" si="36"/>
        <v>0</v>
      </c>
      <c r="F274" s="130">
        <f t="shared" si="36"/>
        <v>0</v>
      </c>
      <c r="G274" s="130">
        <f t="shared" si="36"/>
        <v>0</v>
      </c>
      <c r="H274" s="130">
        <f t="shared" si="36"/>
        <v>0</v>
      </c>
    </row>
    <row r="275" spans="3:10" x14ac:dyDescent="0.3">
      <c r="C275" s="213" t="s">
        <v>20</v>
      </c>
      <c r="D275" s="207" t="s">
        <v>550</v>
      </c>
      <c r="E275" s="130">
        <f t="shared" si="36"/>
        <v>0</v>
      </c>
      <c r="F275" s="130">
        <f t="shared" si="36"/>
        <v>0</v>
      </c>
      <c r="G275" s="130">
        <f t="shared" si="36"/>
        <v>0</v>
      </c>
      <c r="H275" s="130">
        <f t="shared" si="36"/>
        <v>0</v>
      </c>
    </row>
    <row r="276" spans="3:10" x14ac:dyDescent="0.3">
      <c r="C276" s="213" t="s">
        <v>21</v>
      </c>
      <c r="D276" s="207" t="s">
        <v>550</v>
      </c>
      <c r="E276" s="160"/>
      <c r="F276" s="160"/>
      <c r="G276" s="160"/>
      <c r="H276" s="160"/>
    </row>
    <row r="277" spans="3:10" x14ac:dyDescent="0.3">
      <c r="C277" s="213" t="s">
        <v>22</v>
      </c>
      <c r="D277" s="207" t="s">
        <v>550</v>
      </c>
      <c r="E277" s="160" t="e">
        <f t="shared" si="36"/>
        <v>#DIV/0!</v>
      </c>
      <c r="F277" s="160" t="e">
        <f t="shared" si="36"/>
        <v>#DIV/0!</v>
      </c>
      <c r="G277" s="160" t="e">
        <f t="shared" si="36"/>
        <v>#DIV/0!</v>
      </c>
      <c r="H277" s="160" t="e">
        <f t="shared" si="36"/>
        <v>#DIV/0!</v>
      </c>
    </row>
    <row r="278" spans="3:10" x14ac:dyDescent="0.3">
      <c r="C278" s="216" t="s">
        <v>54</v>
      </c>
      <c r="D278" s="207" t="s">
        <v>550</v>
      </c>
      <c r="E278" s="200" t="e">
        <f>SUM(E269:E277)</f>
        <v>#DIV/0!</v>
      </c>
      <c r="F278" s="200" t="e">
        <f>SUM(F269:F277)</f>
        <v>#DIV/0!</v>
      </c>
      <c r="G278" s="200" t="e">
        <f>SUM(G269:G277)</f>
        <v>#DIV/0!</v>
      </c>
      <c r="H278" s="200" t="e">
        <f>SUM(H269:H277)</f>
        <v>#DIV/0!</v>
      </c>
      <c r="J278" s="200" t="e">
        <f>SUM(E278:H278)</f>
        <v>#DIV/0!</v>
      </c>
    </row>
    <row r="280" spans="3:10" x14ac:dyDescent="0.3">
      <c r="C280" s="51" t="s">
        <v>537</v>
      </c>
    </row>
    <row r="281" spans="3:10" x14ac:dyDescent="0.3">
      <c r="C281" s="209" t="s">
        <v>14</v>
      </c>
      <c r="D281" s="207" t="s">
        <v>272</v>
      </c>
      <c r="E281" s="159" t="e">
        <f t="shared" ref="E281:H287" si="37">E162*E148</f>
        <v>#DIV/0!</v>
      </c>
      <c r="F281" s="159" t="e">
        <f t="shared" si="37"/>
        <v>#DIV/0!</v>
      </c>
      <c r="G281" s="159" t="e">
        <f t="shared" si="37"/>
        <v>#DIV/0!</v>
      </c>
      <c r="H281" s="159" t="e">
        <f t="shared" si="37"/>
        <v>#DIV/0!</v>
      </c>
    </row>
    <row r="282" spans="3:10" x14ac:dyDescent="0.3">
      <c r="C282" s="213" t="s">
        <v>15</v>
      </c>
      <c r="D282" s="207" t="s">
        <v>272</v>
      </c>
      <c r="E282" s="42">
        <f t="shared" si="37"/>
        <v>0</v>
      </c>
      <c r="F282" s="42">
        <f t="shared" si="37"/>
        <v>0</v>
      </c>
      <c r="G282" s="42">
        <f t="shared" si="37"/>
        <v>0</v>
      </c>
      <c r="H282" s="42">
        <f t="shared" si="37"/>
        <v>0</v>
      </c>
    </row>
    <row r="283" spans="3:10" x14ac:dyDescent="0.3">
      <c r="C283" s="210" t="s">
        <v>16</v>
      </c>
      <c r="D283" s="207" t="s">
        <v>272</v>
      </c>
      <c r="E283" s="42">
        <f t="shared" si="37"/>
        <v>0</v>
      </c>
      <c r="F283" s="42">
        <f t="shared" si="37"/>
        <v>0</v>
      </c>
      <c r="G283" s="42">
        <f t="shared" si="37"/>
        <v>0</v>
      </c>
      <c r="H283" s="42">
        <f t="shared" si="37"/>
        <v>0</v>
      </c>
    </row>
    <row r="284" spans="3:10" x14ac:dyDescent="0.3">
      <c r="C284" s="210" t="s">
        <v>17</v>
      </c>
      <c r="D284" s="207" t="s">
        <v>272</v>
      </c>
      <c r="E284" s="42">
        <f t="shared" si="37"/>
        <v>0</v>
      </c>
      <c r="F284" s="42">
        <f t="shared" si="37"/>
        <v>0</v>
      </c>
      <c r="G284" s="42">
        <f t="shared" si="37"/>
        <v>0</v>
      </c>
      <c r="H284" s="42">
        <f t="shared" si="37"/>
        <v>0</v>
      </c>
    </row>
    <row r="285" spans="3:10" x14ac:dyDescent="0.3">
      <c r="C285" s="210" t="s">
        <v>18</v>
      </c>
      <c r="D285" s="207" t="s">
        <v>272</v>
      </c>
      <c r="E285" s="42">
        <f t="shared" si="37"/>
        <v>0</v>
      </c>
      <c r="F285" s="42">
        <f t="shared" si="37"/>
        <v>0</v>
      </c>
      <c r="G285" s="42">
        <f t="shared" si="37"/>
        <v>0</v>
      </c>
      <c r="H285" s="42">
        <f t="shared" si="37"/>
        <v>0</v>
      </c>
    </row>
    <row r="286" spans="3:10" x14ac:dyDescent="0.3">
      <c r="C286" s="210" t="s">
        <v>19</v>
      </c>
      <c r="D286" s="207" t="s">
        <v>272</v>
      </c>
      <c r="E286" s="42">
        <f t="shared" si="37"/>
        <v>0</v>
      </c>
      <c r="F286" s="42">
        <f t="shared" si="37"/>
        <v>0</v>
      </c>
      <c r="G286" s="42">
        <f t="shared" si="37"/>
        <v>0</v>
      </c>
      <c r="H286" s="42">
        <f t="shared" si="37"/>
        <v>0</v>
      </c>
    </row>
    <row r="287" spans="3:10" x14ac:dyDescent="0.3">
      <c r="C287" s="213" t="s">
        <v>20</v>
      </c>
      <c r="D287" s="207" t="s">
        <v>272</v>
      </c>
      <c r="E287" s="42">
        <f t="shared" si="37"/>
        <v>0</v>
      </c>
      <c r="F287" s="42">
        <f t="shared" si="37"/>
        <v>0</v>
      </c>
      <c r="G287" s="42">
        <f t="shared" si="37"/>
        <v>0</v>
      </c>
      <c r="H287" s="42">
        <f t="shared" si="37"/>
        <v>0</v>
      </c>
    </row>
    <row r="288" spans="3:10" x14ac:dyDescent="0.3">
      <c r="C288" s="213" t="s">
        <v>21</v>
      </c>
      <c r="D288" s="207" t="s">
        <v>272</v>
      </c>
      <c r="E288" s="159"/>
      <c r="F288" s="159"/>
      <c r="G288" s="159"/>
      <c r="H288" s="159"/>
    </row>
    <row r="289" spans="3:10" x14ac:dyDescent="0.3">
      <c r="C289" s="213" t="s">
        <v>22</v>
      </c>
      <c r="D289" s="207" t="s">
        <v>272</v>
      </c>
      <c r="E289" s="159" t="e">
        <f>E170*E156</f>
        <v>#DIV/0!</v>
      </c>
      <c r="F289" s="159" t="e">
        <f>F170*F156</f>
        <v>#DIV/0!</v>
      </c>
      <c r="G289" s="159" t="e">
        <f>G170*G156</f>
        <v>#DIV/0!</v>
      </c>
      <c r="H289" s="159" t="e">
        <f>H170*H156</f>
        <v>#DIV/0!</v>
      </c>
    </row>
    <row r="290" spans="3:10" x14ac:dyDescent="0.3">
      <c r="C290" s="102" t="s">
        <v>54</v>
      </c>
      <c r="D290" s="133" t="s">
        <v>272</v>
      </c>
      <c r="E290" s="45" t="e">
        <f>SUM(E281:E289)</f>
        <v>#DIV/0!</v>
      </c>
      <c r="F290" s="45" t="e">
        <f t="shared" ref="F290:H290" si="38">SUM(F281:F289)</f>
        <v>#DIV/0!</v>
      </c>
      <c r="G290" s="45" t="e">
        <f t="shared" si="38"/>
        <v>#DIV/0!</v>
      </c>
      <c r="H290" s="45" t="e">
        <f t="shared" si="38"/>
        <v>#DIV/0!</v>
      </c>
      <c r="J290" s="45" t="e">
        <f>SUM(E290:H290)</f>
        <v>#DIV/0!</v>
      </c>
    </row>
    <row r="292" spans="3:10" x14ac:dyDescent="0.3">
      <c r="C292" s="51" t="s">
        <v>551</v>
      </c>
    </row>
    <row r="293" spans="3:10" x14ac:dyDescent="0.3">
      <c r="C293" s="209" t="s">
        <v>14</v>
      </c>
      <c r="D293" s="207" t="s">
        <v>69</v>
      </c>
      <c r="E293" s="159" t="e">
        <f t="shared" ref="E293:E299" si="39">E281*$J148</f>
        <v>#DIV/0!</v>
      </c>
      <c r="F293" s="159" t="e">
        <f t="shared" ref="F293:H293" si="40">F281*$J148</f>
        <v>#DIV/0!</v>
      </c>
      <c r="G293" s="159" t="e">
        <f t="shared" si="40"/>
        <v>#DIV/0!</v>
      </c>
      <c r="H293" s="159" t="e">
        <f t="shared" si="40"/>
        <v>#DIV/0!</v>
      </c>
    </row>
    <row r="294" spans="3:10" x14ac:dyDescent="0.3">
      <c r="C294" s="213" t="s">
        <v>15</v>
      </c>
      <c r="D294" s="207" t="s">
        <v>69</v>
      </c>
      <c r="E294" s="42">
        <f t="shared" si="39"/>
        <v>0</v>
      </c>
      <c r="F294" s="42">
        <f t="shared" ref="F294:H299" si="41">F282*$J149</f>
        <v>0</v>
      </c>
      <c r="G294" s="42">
        <f t="shared" si="41"/>
        <v>0</v>
      </c>
      <c r="H294" s="42">
        <f t="shared" si="41"/>
        <v>0</v>
      </c>
    </row>
    <row r="295" spans="3:10" x14ac:dyDescent="0.3">
      <c r="C295" s="210" t="s">
        <v>16</v>
      </c>
      <c r="D295" s="207" t="s">
        <v>69</v>
      </c>
      <c r="E295" s="42">
        <f t="shared" si="39"/>
        <v>0</v>
      </c>
      <c r="F295" s="42">
        <f t="shared" si="41"/>
        <v>0</v>
      </c>
      <c r="G295" s="42">
        <f t="shared" si="41"/>
        <v>0</v>
      </c>
      <c r="H295" s="42">
        <f t="shared" si="41"/>
        <v>0</v>
      </c>
    </row>
    <row r="296" spans="3:10" x14ac:dyDescent="0.3">
      <c r="C296" s="210" t="s">
        <v>17</v>
      </c>
      <c r="D296" s="207" t="s">
        <v>69</v>
      </c>
      <c r="E296" s="42">
        <f t="shared" si="39"/>
        <v>0</v>
      </c>
      <c r="F296" s="42">
        <f t="shared" si="41"/>
        <v>0</v>
      </c>
      <c r="G296" s="42">
        <f t="shared" si="41"/>
        <v>0</v>
      </c>
      <c r="H296" s="42">
        <f t="shared" si="41"/>
        <v>0</v>
      </c>
    </row>
    <row r="297" spans="3:10" x14ac:dyDescent="0.3">
      <c r="C297" s="210" t="s">
        <v>18</v>
      </c>
      <c r="D297" s="207" t="s">
        <v>69</v>
      </c>
      <c r="E297" s="42">
        <f t="shared" si="39"/>
        <v>0</v>
      </c>
      <c r="F297" s="42">
        <f t="shared" si="41"/>
        <v>0</v>
      </c>
      <c r="G297" s="42">
        <f t="shared" si="41"/>
        <v>0</v>
      </c>
      <c r="H297" s="42">
        <f t="shared" si="41"/>
        <v>0</v>
      </c>
    </row>
    <row r="298" spans="3:10" x14ac:dyDescent="0.3">
      <c r="C298" s="210" t="s">
        <v>19</v>
      </c>
      <c r="D298" s="207" t="s">
        <v>69</v>
      </c>
      <c r="E298" s="42">
        <f t="shared" si="39"/>
        <v>0</v>
      </c>
      <c r="F298" s="42">
        <f t="shared" si="41"/>
        <v>0</v>
      </c>
      <c r="G298" s="42">
        <f t="shared" si="41"/>
        <v>0</v>
      </c>
      <c r="H298" s="42">
        <f t="shared" si="41"/>
        <v>0</v>
      </c>
    </row>
    <row r="299" spans="3:10" x14ac:dyDescent="0.3">
      <c r="C299" s="213" t="s">
        <v>20</v>
      </c>
      <c r="D299" s="207" t="s">
        <v>69</v>
      </c>
      <c r="E299" s="42">
        <f t="shared" si="39"/>
        <v>0</v>
      </c>
      <c r="F299" s="42">
        <f t="shared" si="41"/>
        <v>0</v>
      </c>
      <c r="G299" s="42">
        <f t="shared" si="41"/>
        <v>0</v>
      </c>
      <c r="H299" s="42">
        <f t="shared" si="41"/>
        <v>0</v>
      </c>
    </row>
    <row r="300" spans="3:10" x14ac:dyDescent="0.3">
      <c r="C300" s="213" t="s">
        <v>21</v>
      </c>
      <c r="D300" s="207" t="s">
        <v>69</v>
      </c>
      <c r="E300" s="159"/>
      <c r="F300" s="159"/>
      <c r="G300" s="159"/>
      <c r="H300" s="159"/>
    </row>
    <row r="301" spans="3:10" x14ac:dyDescent="0.3">
      <c r="C301" s="213" t="s">
        <v>22</v>
      </c>
      <c r="D301" s="207" t="s">
        <v>69</v>
      </c>
      <c r="E301" s="159" t="e">
        <f>E289*$J156</f>
        <v>#DIV/0!</v>
      </c>
      <c r="F301" s="159" t="e">
        <f>F289*$J156</f>
        <v>#DIV/0!</v>
      </c>
      <c r="G301" s="159" t="e">
        <f>G289*$J156</f>
        <v>#DIV/0!</v>
      </c>
      <c r="H301" s="159" t="e">
        <f>H289*$J156</f>
        <v>#DIV/0!</v>
      </c>
    </row>
    <row r="302" spans="3:10" x14ac:dyDescent="0.3">
      <c r="C302" s="216" t="s">
        <v>54</v>
      </c>
      <c r="D302" s="207" t="s">
        <v>69</v>
      </c>
      <c r="E302" s="45" t="e">
        <f>SUM(E293:E301)</f>
        <v>#DIV/0!</v>
      </c>
      <c r="F302" s="45" t="e">
        <f>SUM(F293:F301)</f>
        <v>#DIV/0!</v>
      </c>
      <c r="G302" s="45" t="e">
        <f>SUM(G293:G301)</f>
        <v>#DIV/0!</v>
      </c>
      <c r="H302" s="45" t="e">
        <f>SUM(H293:H301)</f>
        <v>#DIV/0!</v>
      </c>
      <c r="J302" s="45" t="e">
        <f>SUM(E302:H302)</f>
        <v>#DIV/0!</v>
      </c>
    </row>
  </sheetData>
  <sheetProtection algorithmName="SHA-512" hashValue="nzgH2a+siKBwTzuFyqKhMyEG0EsMteSHUWc3tz1Bh5Tr2EEgZeJfdHvt6gLts0/F36Ew4JmnIVhzpkcvR35nRA==" saltValue="a+ooRa3dN7p/8AWLfEf4nA==" spinCount="100000" sheet="1" objects="1" scenarios="1"/>
  <mergeCells count="8">
    <mergeCell ref="E160:F160"/>
    <mergeCell ref="G160:H160"/>
    <mergeCell ref="E6:F6"/>
    <mergeCell ref="G6:H6"/>
    <mergeCell ref="E54:F54"/>
    <mergeCell ref="G54:H54"/>
    <mergeCell ref="E99:F99"/>
    <mergeCell ref="G99:H99"/>
  </mergeCells>
  <pageMargins left="0.7" right="0.7" top="0.78740157499999996" bottom="0.78740157499999996" header="0.3" footer="0.3"/>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4F82C-3E80-4D8A-B45C-F9F96C41FD3C}">
  <sheetPr>
    <tabColor theme="4" tint="0.59999389629810485"/>
  </sheetPr>
  <dimension ref="B2:AN220"/>
  <sheetViews>
    <sheetView zoomScaleNormal="100" workbookViewId="0">
      <pane ySplit="7" topLeftCell="A8" activePane="bottomLeft" state="frozen"/>
      <selection activeCell="J9" sqref="J9"/>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16384" width="8.85546875" style="17"/>
  </cols>
  <sheetData>
    <row r="2" spans="2:24" s="16" customFormat="1" ht="17.25" x14ac:dyDescent="0.3">
      <c r="C2" s="16" t="s">
        <v>145</v>
      </c>
      <c r="D2" s="16" t="s">
        <v>146</v>
      </c>
      <c r="M2" s="201"/>
    </row>
    <row r="3" spans="2:24" x14ac:dyDescent="0.3">
      <c r="M3" s="169"/>
    </row>
    <row r="4" spans="2:24" ht="20.25" x14ac:dyDescent="0.35">
      <c r="B4" s="77"/>
      <c r="C4" s="81" t="s">
        <v>716</v>
      </c>
      <c r="D4" s="76"/>
    </row>
    <row r="5" spans="2:24" s="18" customFormat="1" ht="17.25" thickBot="1" x14ac:dyDescent="0.35">
      <c r="B5" s="233" t="s">
        <v>153</v>
      </c>
      <c r="C5" s="19" t="s">
        <v>154</v>
      </c>
      <c r="D5" s="19" t="s">
        <v>32</v>
      </c>
      <c r="E5" s="19" t="s">
        <v>155</v>
      </c>
      <c r="F5" s="19"/>
      <c r="G5" s="19" t="s">
        <v>155</v>
      </c>
      <c r="H5" s="19"/>
      <c r="I5" s="19"/>
      <c r="J5" s="56" t="s">
        <v>156</v>
      </c>
      <c r="K5" s="56"/>
    </row>
    <row r="6" spans="2:24" s="30" customFormat="1" ht="18" thickTop="1" thickBot="1" x14ac:dyDescent="0.35">
      <c r="B6" s="234"/>
      <c r="C6" s="29" t="s">
        <v>157</v>
      </c>
      <c r="D6" s="29"/>
      <c r="E6" s="335" t="s">
        <v>5</v>
      </c>
      <c r="F6" s="335"/>
      <c r="G6" s="335" t="s">
        <v>6</v>
      </c>
      <c r="H6" s="335"/>
      <c r="I6" s="28"/>
      <c r="J6" s="28"/>
      <c r="K6" s="57"/>
    </row>
    <row r="7" spans="2:24" ht="18" thickTop="1" thickBot="1" x14ac:dyDescent="0.35">
      <c r="B7" s="233"/>
      <c r="C7" s="29" t="s">
        <v>158</v>
      </c>
      <c r="D7" s="29"/>
      <c r="E7" s="29" t="s">
        <v>7</v>
      </c>
      <c r="F7" s="29" t="s">
        <v>8</v>
      </c>
      <c r="G7" s="29" t="s">
        <v>7</v>
      </c>
      <c r="H7" s="29" t="s">
        <v>8</v>
      </c>
      <c r="I7" s="19"/>
      <c r="J7" s="19"/>
      <c r="K7" s="56"/>
    </row>
    <row r="8" spans="2:24" ht="17.25" thickTop="1" x14ac:dyDescent="0.3">
      <c r="C8" s="49" t="s">
        <v>717</v>
      </c>
    </row>
    <row r="9" spans="2:24" x14ac:dyDescent="0.3">
      <c r="C9" s="20" t="s">
        <v>98</v>
      </c>
      <c r="D9" s="15" t="s">
        <v>188</v>
      </c>
      <c r="E9" s="25">
        <v>25</v>
      </c>
      <c r="F9" s="148" t="s">
        <v>718</v>
      </c>
      <c r="G9" s="97">
        <f>N9*Q9/365*E9%</f>
        <v>0.43499999999999994</v>
      </c>
      <c r="H9" s="26" t="s">
        <v>211</v>
      </c>
      <c r="I9" s="148" t="s">
        <v>719</v>
      </c>
      <c r="J9" s="83">
        <f>'Model homes'!F82*'Model homes'!J82</f>
        <v>3</v>
      </c>
      <c r="K9" s="26" t="s">
        <v>211</v>
      </c>
      <c r="M9" s="129" t="s">
        <v>720</v>
      </c>
      <c r="N9" s="149">
        <f>'Model homes'!J82*365</f>
        <v>10.95</v>
      </c>
      <c r="O9" s="129" t="s">
        <v>721</v>
      </c>
      <c r="P9" s="129" t="s">
        <v>718</v>
      </c>
      <c r="Q9" s="149">
        <f>'Model homes'!F82-'Model homes'!E81</f>
        <v>58</v>
      </c>
      <c r="R9" s="150" t="s">
        <v>722</v>
      </c>
    </row>
    <row r="11" spans="2:24" x14ac:dyDescent="0.3">
      <c r="C11" s="51" t="s">
        <v>723</v>
      </c>
    </row>
    <row r="12" spans="2:24" x14ac:dyDescent="0.3">
      <c r="C12" s="20" t="s">
        <v>98</v>
      </c>
      <c r="D12" s="15" t="s">
        <v>191</v>
      </c>
      <c r="E12" s="42">
        <f>$G9/'Model homes'!$E$83*'Model homes'!E$86</f>
        <v>23.635881599999998</v>
      </c>
      <c r="F12" s="42">
        <f>$G9/'Model homes'!$E$83*'Model homes'!F$86</f>
        <v>23.635881599999998</v>
      </c>
      <c r="G12" s="42">
        <f>$G9/'Model homes'!$E$83*'Model homes'!G$86</f>
        <v>17.726911199999996</v>
      </c>
      <c r="H12" s="42">
        <f>$G9/'Model homes'!$E$83*'Model homes'!H$86</f>
        <v>17.726911199999996</v>
      </c>
    </row>
    <row r="13" spans="2:24" x14ac:dyDescent="0.3">
      <c r="C13" s="232" t="s">
        <v>302</v>
      </c>
      <c r="D13" s="232" t="s">
        <v>301</v>
      </c>
      <c r="E13" s="231">
        <f>'Model homes'!$E169</f>
        <v>0.04</v>
      </c>
      <c r="F13" s="231">
        <f>'Model homes'!$E169</f>
        <v>0.04</v>
      </c>
      <c r="G13" s="231">
        <f>'Model homes'!$E169</f>
        <v>0.04</v>
      </c>
      <c r="H13" s="231">
        <f>'Model homes'!$E169</f>
        <v>0.04</v>
      </c>
    </row>
    <row r="14" spans="2:24" x14ac:dyDescent="0.3">
      <c r="C14" s="14" t="s">
        <v>511</v>
      </c>
      <c r="D14" s="84" t="s">
        <v>512</v>
      </c>
      <c r="E14" s="25">
        <v>3</v>
      </c>
      <c r="F14" s="91">
        <f>E14</f>
        <v>3</v>
      </c>
      <c r="G14" s="91">
        <f t="shared" ref="G14:H14" si="0">F14</f>
        <v>3</v>
      </c>
      <c r="H14" s="91">
        <f t="shared" si="0"/>
        <v>3</v>
      </c>
      <c r="V14" s="18"/>
      <c r="W14" s="18"/>
      <c r="X14" s="18"/>
    </row>
    <row r="15" spans="2:24" x14ac:dyDescent="0.3">
      <c r="C15" s="84"/>
    </row>
    <row r="16" spans="2:24" ht="20.25" x14ac:dyDescent="0.35">
      <c r="C16" s="81" t="s">
        <v>518</v>
      </c>
      <c r="D16" s="46"/>
      <c r="E16" s="55"/>
      <c r="F16" s="55"/>
      <c r="G16" s="55"/>
      <c r="H16" s="55"/>
      <c r="J16" s="26"/>
    </row>
    <row r="17" spans="2:24" s="18" customFormat="1" ht="17.25" thickBot="1" x14ac:dyDescent="0.35">
      <c r="B17" s="233" t="s">
        <v>153</v>
      </c>
      <c r="C17" s="19" t="s">
        <v>154</v>
      </c>
      <c r="D17" s="19" t="s">
        <v>32</v>
      </c>
      <c r="E17" s="19" t="s">
        <v>155</v>
      </c>
      <c r="F17" s="19"/>
      <c r="G17" s="19" t="s">
        <v>155</v>
      </c>
      <c r="H17" s="19"/>
      <c r="I17" s="19"/>
      <c r="J17" s="56" t="s">
        <v>156</v>
      </c>
      <c r="K17" s="56"/>
    </row>
    <row r="18" spans="2:24" s="30" customFormat="1" ht="18" thickTop="1" thickBot="1" x14ac:dyDescent="0.35">
      <c r="B18" s="234"/>
      <c r="C18" s="29" t="s">
        <v>157</v>
      </c>
      <c r="D18" s="29"/>
      <c r="E18" s="335" t="s">
        <v>5</v>
      </c>
      <c r="F18" s="335"/>
      <c r="G18" s="335" t="s">
        <v>6</v>
      </c>
      <c r="H18" s="335"/>
      <c r="I18" s="28"/>
      <c r="J18" s="28"/>
      <c r="K18" s="57"/>
      <c r="M18" s="20"/>
    </row>
    <row r="19" spans="2:24" ht="18" thickTop="1" thickBot="1" x14ac:dyDescent="0.35">
      <c r="B19" s="233"/>
      <c r="C19" s="29" t="s">
        <v>158</v>
      </c>
      <c r="D19" s="29"/>
      <c r="E19" s="29" t="s">
        <v>7</v>
      </c>
      <c r="F19" s="29" t="s">
        <v>8</v>
      </c>
      <c r="G19" s="29" t="s">
        <v>7</v>
      </c>
      <c r="H19" s="29" t="s">
        <v>8</v>
      </c>
      <c r="I19" s="19"/>
      <c r="J19" s="19"/>
      <c r="K19" s="56"/>
      <c r="M19" s="82"/>
      <c r="N19" s="82"/>
    </row>
    <row r="20" spans="2:24" ht="17.25" thickTop="1" x14ac:dyDescent="0.3">
      <c r="C20" s="51" t="s">
        <v>724</v>
      </c>
      <c r="D20" s="84"/>
      <c r="E20" s="91"/>
      <c r="F20" s="91"/>
      <c r="G20" s="91"/>
      <c r="H20" s="91"/>
    </row>
    <row r="21" spans="2:24" x14ac:dyDescent="0.3">
      <c r="C21" s="20" t="s">
        <v>14</v>
      </c>
      <c r="D21" s="15" t="s">
        <v>191</v>
      </c>
      <c r="E21" s="42">
        <f>E$12/'Model homes'!E$86*'Model homes'!E95</f>
        <v>37.037670136082468</v>
      </c>
      <c r="F21" s="42">
        <f>F$12/'Model homes'!F$86*'Model homes'!F95</f>
        <v>36.659734726530608</v>
      </c>
      <c r="G21" s="42">
        <f>G$12/'Model homes'!G$86*'Model homes'!G95</f>
        <v>41.484627241237106</v>
      </c>
      <c r="H21" s="42">
        <f>H$12/'Model homes'!H$86*'Model homes'!H95</f>
        <v>41.061314718367342</v>
      </c>
      <c r="J21" s="26"/>
    </row>
    <row r="22" spans="2:24" x14ac:dyDescent="0.3">
      <c r="C22" s="14" t="s">
        <v>15</v>
      </c>
      <c r="D22" s="15" t="s">
        <v>191</v>
      </c>
      <c r="E22" s="42">
        <f>E$12/'Model homes'!E$86*'Model homes'!E96</f>
        <v>55.271600049230756</v>
      </c>
      <c r="F22" s="42">
        <f>F$12/'Model homes'!F$86*'Model homes'!F96</f>
        <v>51.323628617142852</v>
      </c>
      <c r="G22" s="42">
        <f>G$12/'Model homes'!G$86*'Model homes'!G96</f>
        <v>60.059833468656706</v>
      </c>
      <c r="H22" s="42">
        <f>H$12/'Model homes'!H$86*'Model homes'!H96</f>
        <v>57.48584060571428</v>
      </c>
      <c r="J22" s="26"/>
    </row>
    <row r="23" spans="2:24" x14ac:dyDescent="0.3">
      <c r="C23" s="15" t="s">
        <v>16</v>
      </c>
      <c r="D23" s="15" t="s">
        <v>191</v>
      </c>
      <c r="E23" s="42">
        <f>E$12/'Model homes'!E$86*'Model homes'!E97</f>
        <v>44.908175039999989</v>
      </c>
      <c r="F23" s="42">
        <f>F$12/'Model homes'!F$86*'Model homes'!F97</f>
        <v>42.769690514285706</v>
      </c>
      <c r="G23" s="42">
        <f>G$12/'Model homes'!G$86*'Model homes'!G97</f>
        <v>49.073278565853656</v>
      </c>
      <c r="H23" s="42">
        <f>H$12/'Model homes'!H$86*'Model homes'!H97</f>
        <v>47.904867171428563</v>
      </c>
      <c r="J23" s="26"/>
    </row>
    <row r="24" spans="2:24" x14ac:dyDescent="0.3">
      <c r="C24" s="15" t="s">
        <v>17</v>
      </c>
      <c r="D24" s="15" t="s">
        <v>191</v>
      </c>
      <c r="E24" s="42">
        <f>E$12/'Model homes'!E$86*'Model homes'!E98</f>
        <v>55.271600049230756</v>
      </c>
      <c r="F24" s="42">
        <f>F$12/'Model homes'!F$86*'Model homes'!F98</f>
        <v>51.323628617142852</v>
      </c>
      <c r="G24" s="42">
        <f>G$12/'Model homes'!G$86*'Model homes'!G98</f>
        <v>61.907828344615375</v>
      </c>
      <c r="H24" s="42">
        <f>H$12/'Model homes'!H$86*'Model homes'!H98</f>
        <v>57.48584060571428</v>
      </c>
      <c r="J24" s="26"/>
    </row>
    <row r="25" spans="2:24" x14ac:dyDescent="0.3">
      <c r="C25" s="15" t="s">
        <v>18</v>
      </c>
      <c r="D25" s="15" t="s">
        <v>191</v>
      </c>
      <c r="E25" s="42">
        <f>E$12/'Model homes'!E$86*'Model homes'!E99</f>
        <v>44.908175039999989</v>
      </c>
      <c r="F25" s="42">
        <f>F$12/'Model homes'!F$86*'Model homes'!F99</f>
        <v>42.266517684705875</v>
      </c>
      <c r="G25" s="42">
        <f>G$12/'Model homes'!G$86*'Model homes'!G99</f>
        <v>50.300110529999991</v>
      </c>
      <c r="H25" s="42">
        <f>H$12/'Model homes'!H$86*'Model homes'!H99</f>
        <v>47.341280498823522</v>
      </c>
      <c r="J25" s="26"/>
    </row>
    <row r="26" spans="2:24" x14ac:dyDescent="0.3">
      <c r="C26" s="15" t="s">
        <v>19</v>
      </c>
      <c r="D26" s="15" t="s">
        <v>191</v>
      </c>
      <c r="E26" s="42">
        <f>E$12/'Model homes'!E$86*'Model homes'!E100</f>
        <v>44.908175039999989</v>
      </c>
      <c r="F26" s="42">
        <f>F$12/'Model homes'!F$86*'Model homes'!F100</f>
        <v>41.775046548837203</v>
      </c>
      <c r="G26" s="42">
        <f>G$12/'Model homes'!G$86*'Model homes'!G100</f>
        <v>50.300110529999991</v>
      </c>
      <c r="H26" s="42">
        <f>H$12/'Model homes'!H$86*'Model homes'!H100</f>
        <v>46.790800493023255</v>
      </c>
      <c r="J26" s="26"/>
    </row>
    <row r="27" spans="2:24" x14ac:dyDescent="0.3">
      <c r="C27" s="14" t="s">
        <v>20</v>
      </c>
      <c r="D27" s="15" t="s">
        <v>191</v>
      </c>
      <c r="E27" s="42">
        <f>E$12/'Model homes'!E$86*'Model homes'!E101</f>
        <v>42.266517684705875</v>
      </c>
      <c r="F27" s="42">
        <f>F$12/'Model homes'!F$86*'Model homes'!F101</f>
        <v>41.294873599999995</v>
      </c>
      <c r="G27" s="42">
        <f>G$12/'Model homes'!G$86*'Model homes'!G101</f>
        <v>46.252975199999995</v>
      </c>
      <c r="H27" s="42">
        <f>H$12/'Model homes'!H$86*'Model homes'!H101</f>
        <v>46.252975199999995</v>
      </c>
      <c r="J27" s="26"/>
    </row>
    <row r="28" spans="2:24" x14ac:dyDescent="0.3">
      <c r="C28" s="14" t="s">
        <v>21</v>
      </c>
      <c r="D28" s="15" t="s">
        <v>191</v>
      </c>
      <c r="E28" s="42">
        <f>E$12/'Model homes'!E$86*'Model homes'!E102</f>
        <v>23.635881599999998</v>
      </c>
      <c r="F28" s="42">
        <f>F$12/'Model homes'!F$86*'Model homes'!F102</f>
        <v>23.635881599999998</v>
      </c>
      <c r="G28" s="42">
        <f>G$12/'Model homes'!G$86*'Model homes'!G102</f>
        <v>17.726911199999996</v>
      </c>
      <c r="H28" s="42">
        <f>H$12/'Model homes'!H$86*'Model homes'!H102</f>
        <v>17.726911199999996</v>
      </c>
      <c r="J28" s="17" t="s">
        <v>478</v>
      </c>
    </row>
    <row r="29" spans="2:24" x14ac:dyDescent="0.3">
      <c r="C29" s="14" t="s">
        <v>22</v>
      </c>
      <c r="D29" s="15" t="s">
        <v>191</v>
      </c>
      <c r="E29" s="42">
        <f>E$12/'Model homes'!E$86*'Model homes'!E103</f>
        <v>12.397675572547968</v>
      </c>
      <c r="F29" s="42">
        <f>F$12/'Model homes'!F$86*'Model homes'!F103</f>
        <v>11.015342643568909</v>
      </c>
      <c r="G29" s="42">
        <f>G$12/'Model homes'!G$86*'Model homes'!G103</f>
        <v>12.337908454392149</v>
      </c>
      <c r="H29" s="42">
        <f>H$12/'Model homes'!H$86*'Model homes'!H103</f>
        <v>11.463615147902649</v>
      </c>
      <c r="J29" s="202">
        <f>AVERAGE(E21:H29)</f>
        <v>40.711856776103893</v>
      </c>
    </row>
    <row r="30" spans="2:24" x14ac:dyDescent="0.3">
      <c r="C30" s="96"/>
      <c r="D30" s="84"/>
      <c r="E30" s="91"/>
      <c r="F30" s="91"/>
      <c r="G30" s="91"/>
      <c r="H30" s="91"/>
      <c r="V30" s="42"/>
      <c r="W30" s="99"/>
      <c r="X30" s="99"/>
    </row>
    <row r="31" spans="2:24" x14ac:dyDescent="0.3">
      <c r="C31" s="51" t="s">
        <v>515</v>
      </c>
      <c r="D31" s="84"/>
      <c r="E31" s="91"/>
      <c r="F31" s="91"/>
      <c r="G31" s="91"/>
      <c r="H31" s="91"/>
    </row>
    <row r="32" spans="2:24" x14ac:dyDescent="0.3">
      <c r="C32" s="20" t="s">
        <v>14</v>
      </c>
      <c r="D32" s="15" t="s">
        <v>299</v>
      </c>
      <c r="E32" s="42" t="e">
        <f>E21*'Model homes'!E127*10^-3</f>
        <v>#VALUE!</v>
      </c>
      <c r="F32" s="42" t="e">
        <f>F21*'Model homes'!F127*10^-3</f>
        <v>#VALUE!</v>
      </c>
      <c r="G32" s="42" t="e">
        <f>G21*'Model homes'!G127*10^-3</f>
        <v>#VALUE!</v>
      </c>
      <c r="H32" s="42" t="e">
        <f>H21*'Model homes'!H127*10^-3</f>
        <v>#VALUE!</v>
      </c>
      <c r="J32" s="26" t="s">
        <v>516</v>
      </c>
    </row>
    <row r="33" spans="3:11" x14ac:dyDescent="0.3">
      <c r="C33" s="14" t="s">
        <v>15</v>
      </c>
      <c r="D33" s="15" t="s">
        <v>299</v>
      </c>
      <c r="E33" s="42" t="e">
        <f>E22*'Model homes'!E131/100</f>
        <v>#VALUE!</v>
      </c>
      <c r="F33" s="42" t="e">
        <f>F22*'Model homes'!F131/100</f>
        <v>#VALUE!</v>
      </c>
      <c r="G33" s="42" t="e">
        <f>G22*'Model homes'!G131/100</f>
        <v>#VALUE!</v>
      </c>
      <c r="H33" s="42" t="e">
        <f>H22*'Model homes'!H131/100</f>
        <v>#VALUE!</v>
      </c>
      <c r="J33" s="26"/>
    </row>
    <row r="34" spans="3:11" x14ac:dyDescent="0.3">
      <c r="C34" s="15" t="s">
        <v>16</v>
      </c>
      <c r="D34" s="15" t="s">
        <v>299</v>
      </c>
      <c r="E34" s="42" t="e">
        <f>E23*'Model homes'!E133/100</f>
        <v>#VALUE!</v>
      </c>
      <c r="F34" s="42" t="e">
        <f>F23*'Model homes'!F133/100</f>
        <v>#VALUE!</v>
      </c>
      <c r="G34" s="42" t="e">
        <f>G23*'Model homes'!G133/100</f>
        <v>#VALUE!</v>
      </c>
      <c r="H34" s="42" t="e">
        <f>H23*'Model homes'!H133/100</f>
        <v>#VALUE!</v>
      </c>
      <c r="J34" s="26"/>
    </row>
    <row r="35" spans="3:11" x14ac:dyDescent="0.3">
      <c r="C35" s="15" t="s">
        <v>17</v>
      </c>
      <c r="D35" s="15" t="s">
        <v>299</v>
      </c>
      <c r="E35" s="42" t="e">
        <f>E24*'Model homes'!E135/100</f>
        <v>#VALUE!</v>
      </c>
      <c r="F35" s="42" t="e">
        <f>F24*'Model homes'!F135/100</f>
        <v>#VALUE!</v>
      </c>
      <c r="G35" s="42" t="e">
        <f>G24*'Model homes'!G135/100</f>
        <v>#VALUE!</v>
      </c>
      <c r="H35" s="42" t="e">
        <f>H24*'Model homes'!H135/100</f>
        <v>#VALUE!</v>
      </c>
      <c r="J35" s="26"/>
    </row>
    <row r="36" spans="3:11" x14ac:dyDescent="0.3">
      <c r="C36" s="15" t="s">
        <v>18</v>
      </c>
      <c r="D36" s="15" t="s">
        <v>299</v>
      </c>
      <c r="E36" s="42" t="e">
        <f>E25*'Model homes'!E137/100</f>
        <v>#VALUE!</v>
      </c>
      <c r="F36" s="42" t="e">
        <f>F25*'Model homes'!F137/100</f>
        <v>#VALUE!</v>
      </c>
      <c r="G36" s="42" t="e">
        <f>G25*'Model homes'!G137/100</f>
        <v>#VALUE!</v>
      </c>
      <c r="H36" s="42" t="e">
        <f>H25*'Model homes'!H137/100</f>
        <v>#VALUE!</v>
      </c>
      <c r="J36" s="26"/>
    </row>
    <row r="37" spans="3:11" x14ac:dyDescent="0.3">
      <c r="C37" s="15" t="s">
        <v>19</v>
      </c>
      <c r="D37" s="15" t="s">
        <v>299</v>
      </c>
      <c r="E37" s="42" t="e">
        <f>E26*'Model homes'!E139/100</f>
        <v>#VALUE!</v>
      </c>
      <c r="F37" s="42" t="e">
        <f>F26*'Model homes'!F139/100</f>
        <v>#VALUE!</v>
      </c>
      <c r="G37" s="42" t="e">
        <f>G26*'Model homes'!G139/100</f>
        <v>#VALUE!</v>
      </c>
      <c r="H37" s="42" t="e">
        <f>H26*'Model homes'!H139/100</f>
        <v>#VALUE!</v>
      </c>
      <c r="J37" s="26"/>
    </row>
    <row r="38" spans="3:11" x14ac:dyDescent="0.3">
      <c r="C38" s="14" t="s">
        <v>20</v>
      </c>
      <c r="D38" s="15" t="s">
        <v>299</v>
      </c>
      <c r="E38" s="42" t="e">
        <f>E27*'Model homes'!E140/100</f>
        <v>#VALUE!</v>
      </c>
      <c r="F38" s="42" t="e">
        <f>F27*'Model homes'!F140/100</f>
        <v>#VALUE!</v>
      </c>
      <c r="G38" s="42" t="e">
        <f>G27*'Model homes'!G140/100</f>
        <v>#VALUE!</v>
      </c>
      <c r="H38" s="42" t="e">
        <f>H27*'Model homes'!H140/100</f>
        <v>#VALUE!</v>
      </c>
      <c r="J38" s="26"/>
    </row>
    <row r="39" spans="3:11" x14ac:dyDescent="0.3">
      <c r="C39" s="14" t="s">
        <v>21</v>
      </c>
      <c r="D39" s="15" t="s">
        <v>299</v>
      </c>
      <c r="E39" s="42" t="e">
        <f>E28*'Model homes'!E141/100</f>
        <v>#VALUE!</v>
      </c>
      <c r="F39" s="42" t="e">
        <f>F28*'Model homes'!F141/100</f>
        <v>#VALUE!</v>
      </c>
      <c r="G39" s="42" t="e">
        <f>G28*'Model homes'!G141/100</f>
        <v>#VALUE!</v>
      </c>
      <c r="H39" s="42" t="e">
        <f>H28*'Model homes'!H141/100</f>
        <v>#VALUE!</v>
      </c>
      <c r="J39" s="26"/>
      <c r="K39" s="17" t="s">
        <v>478</v>
      </c>
    </row>
    <row r="40" spans="3:11" x14ac:dyDescent="0.3">
      <c r="C40" s="14" t="s">
        <v>22</v>
      </c>
      <c r="D40" s="15" t="s">
        <v>299</v>
      </c>
      <c r="E40" s="42" t="e">
        <f>E29*'Model homes'!E142/100</f>
        <v>#VALUE!</v>
      </c>
      <c r="F40" s="42" t="e">
        <f>F29*'Model homes'!F142/100</f>
        <v>#VALUE!</v>
      </c>
      <c r="G40" s="42" t="e">
        <f>G29*'Model homes'!G142/100</f>
        <v>#VALUE!</v>
      </c>
      <c r="H40" s="42" t="e">
        <f>H29*'Model homes'!H142/100</f>
        <v>#VALUE!</v>
      </c>
      <c r="J40" s="45" t="e">
        <f>ROUND(MIN(E32:H40),0)&amp;" - "&amp;ROUND(MAX(E32:H40),0)</f>
        <v>#VALUE!</v>
      </c>
      <c r="K40" s="142" t="e">
        <f>AVERAGE(E32:H40)</f>
        <v>#VALUE!</v>
      </c>
    </row>
    <row r="41" spans="3:11" x14ac:dyDescent="0.3">
      <c r="C41" s="20"/>
      <c r="D41" s="15"/>
      <c r="E41" s="42"/>
      <c r="F41" s="55"/>
      <c r="G41" s="42"/>
      <c r="H41" s="42"/>
      <c r="J41" s="26"/>
    </row>
    <row r="42" spans="3:11" x14ac:dyDescent="0.3">
      <c r="C42" s="51" t="s">
        <v>517</v>
      </c>
      <c r="D42" s="84"/>
      <c r="E42" s="91"/>
      <c r="F42" s="91"/>
      <c r="G42" s="91"/>
      <c r="H42" s="91"/>
      <c r="J42" s="51" t="s">
        <v>509</v>
      </c>
    </row>
    <row r="43" spans="3:11" x14ac:dyDescent="0.3">
      <c r="C43" s="20" t="s">
        <v>14</v>
      </c>
      <c r="D43" s="15" t="s">
        <v>299</v>
      </c>
      <c r="E43" s="55" t="e">
        <f>-PMT(E$13,E$14,E32*$J43)</f>
        <v>#VALUE!</v>
      </c>
      <c r="F43" s="55" t="e">
        <f t="shared" ref="F43:H43" si="1">-PMT(F$13,F$14,F32*$J43)</f>
        <v>#VALUE!</v>
      </c>
      <c r="G43" s="55" t="e">
        <f t="shared" si="1"/>
        <v>#VALUE!</v>
      </c>
      <c r="H43" s="55" t="e">
        <f t="shared" si="1"/>
        <v>#VALUE!</v>
      </c>
      <c r="J43" s="63">
        <f>(1-(((1+'Model homes'!$E159)/(1+E$13))^E$14))/(E$13-'Model homes'!$E159)</f>
        <v>2.8432103792103223</v>
      </c>
    </row>
    <row r="44" spans="3:11" x14ac:dyDescent="0.3">
      <c r="C44" s="14" t="s">
        <v>15</v>
      </c>
      <c r="D44" s="15" t="s">
        <v>299</v>
      </c>
      <c r="E44" s="55" t="e">
        <f t="shared" ref="E44:H51" si="2">-PMT(E$13,E$14,E33*$J44)</f>
        <v>#VALUE!</v>
      </c>
      <c r="F44" s="55" t="e">
        <f t="shared" si="2"/>
        <v>#VALUE!</v>
      </c>
      <c r="G44" s="55" t="e">
        <f t="shared" si="2"/>
        <v>#VALUE!</v>
      </c>
      <c r="H44" s="55" t="e">
        <f t="shared" si="2"/>
        <v>#VALUE!</v>
      </c>
      <c r="J44" s="63">
        <f>(1-(((1+'Model homes'!$E160)/(1+E$13))^E$14))/(E$13-'Model homes'!$E160)</f>
        <v>2.8294976103777958</v>
      </c>
    </row>
    <row r="45" spans="3:11" x14ac:dyDescent="0.3">
      <c r="C45" s="15" t="s">
        <v>16</v>
      </c>
      <c r="D45" s="15" t="s">
        <v>299</v>
      </c>
      <c r="E45" s="55" t="e">
        <f t="shared" si="2"/>
        <v>#VALUE!</v>
      </c>
      <c r="F45" s="55" t="e">
        <f t="shared" si="2"/>
        <v>#VALUE!</v>
      </c>
      <c r="G45" s="55" t="e">
        <f t="shared" si="2"/>
        <v>#VALUE!</v>
      </c>
      <c r="H45" s="55" t="e">
        <f t="shared" si="2"/>
        <v>#VALUE!</v>
      </c>
      <c r="J45" s="63">
        <f>(1-(((1+'Model homes'!$E161)/(1+E$13))^E$14))/(E$13-'Model homes'!$E161)</f>
        <v>2.8432103792103223</v>
      </c>
    </row>
    <row r="46" spans="3:11" x14ac:dyDescent="0.3">
      <c r="C46" s="15" t="s">
        <v>17</v>
      </c>
      <c r="D46" s="15" t="s">
        <v>299</v>
      </c>
      <c r="E46" s="55" t="e">
        <f t="shared" si="2"/>
        <v>#VALUE!</v>
      </c>
      <c r="F46" s="55" t="e">
        <f t="shared" si="2"/>
        <v>#VALUE!</v>
      </c>
      <c r="G46" s="55" t="e">
        <f t="shared" si="2"/>
        <v>#VALUE!</v>
      </c>
      <c r="H46" s="55" t="e">
        <f t="shared" si="2"/>
        <v>#VALUE!</v>
      </c>
      <c r="J46" s="63">
        <f>(1-(((1+'Model homes'!$E162)/(1+E$13))^E$14))/(E$13-'Model homes'!$E162)</f>
        <v>2.8432103792103223</v>
      </c>
    </row>
    <row r="47" spans="3:11" x14ac:dyDescent="0.3">
      <c r="C47" s="15" t="s">
        <v>18</v>
      </c>
      <c r="D47" s="15" t="s">
        <v>299</v>
      </c>
      <c r="E47" s="55" t="e">
        <f t="shared" si="2"/>
        <v>#VALUE!</v>
      </c>
      <c r="F47" s="55" t="e">
        <f t="shared" si="2"/>
        <v>#VALUE!</v>
      </c>
      <c r="G47" s="55" t="e">
        <f t="shared" si="2"/>
        <v>#VALUE!</v>
      </c>
      <c r="H47" s="55" t="e">
        <f t="shared" si="2"/>
        <v>#VALUE!</v>
      </c>
      <c r="J47" s="63">
        <f>(1-(((1+'Model homes'!$E163)/(1+E$13))^E$14))/(E$13-'Model homes'!$E163)</f>
        <v>2.8432103792103223</v>
      </c>
    </row>
    <row r="48" spans="3:11" x14ac:dyDescent="0.3">
      <c r="C48" s="15" t="s">
        <v>19</v>
      </c>
      <c r="D48" s="15" t="s">
        <v>299</v>
      </c>
      <c r="E48" s="55" t="e">
        <f t="shared" si="2"/>
        <v>#VALUE!</v>
      </c>
      <c r="F48" s="55" t="e">
        <f t="shared" si="2"/>
        <v>#VALUE!</v>
      </c>
      <c r="G48" s="55" t="e">
        <f t="shared" si="2"/>
        <v>#VALUE!</v>
      </c>
      <c r="H48" s="55" t="e">
        <f t="shared" si="2"/>
        <v>#VALUE!</v>
      </c>
      <c r="J48" s="63">
        <f>(1-(((1+'Model homes'!$E164)/(1+E$13))^E$14))/(E$13-'Model homes'!$E164)</f>
        <v>2.8432103792103223</v>
      </c>
    </row>
    <row r="49" spans="3:40" ht="15.95" customHeight="1" x14ac:dyDescent="0.3">
      <c r="C49" s="14" t="s">
        <v>20</v>
      </c>
      <c r="D49" s="15" t="s">
        <v>299</v>
      </c>
      <c r="E49" s="55" t="e">
        <f t="shared" si="2"/>
        <v>#VALUE!</v>
      </c>
      <c r="F49" s="55" t="e">
        <f t="shared" si="2"/>
        <v>#VALUE!</v>
      </c>
      <c r="G49" s="55" t="e">
        <f t="shared" si="2"/>
        <v>#VALUE!</v>
      </c>
      <c r="H49" s="55" t="e">
        <f t="shared" si="2"/>
        <v>#VALUE!</v>
      </c>
      <c r="J49" s="63">
        <f>(1-(((1+'Model homes'!$E165)/(1+E$13))^E$14))/(E$13-'Model homes'!$E165)</f>
        <v>2.8542125981452227</v>
      </c>
    </row>
    <row r="50" spans="3:40" ht="15.95" customHeight="1" x14ac:dyDescent="0.3">
      <c r="C50" s="14" t="s">
        <v>21</v>
      </c>
      <c r="D50" s="15" t="s">
        <v>299</v>
      </c>
      <c r="E50" s="55" t="e">
        <f t="shared" si="2"/>
        <v>#VALUE!</v>
      </c>
      <c r="F50" s="55" t="e">
        <f t="shared" si="2"/>
        <v>#VALUE!</v>
      </c>
      <c r="G50" s="55" t="e">
        <f t="shared" si="2"/>
        <v>#VALUE!</v>
      </c>
      <c r="H50" s="55" t="e">
        <f t="shared" si="2"/>
        <v>#VALUE!</v>
      </c>
      <c r="J50" s="63">
        <f>(1-(((1+'Model homes'!$E166)/(1+E$13))^E$14))/(E$13-'Model homes'!$E166)</f>
        <v>2.8432103792103223</v>
      </c>
    </row>
    <row r="51" spans="3:40" x14ac:dyDescent="0.3">
      <c r="C51" s="14" t="s">
        <v>22</v>
      </c>
      <c r="D51" s="15" t="s">
        <v>299</v>
      </c>
      <c r="E51" s="55" t="e">
        <f t="shared" si="2"/>
        <v>#VALUE!</v>
      </c>
      <c r="F51" s="55" t="e">
        <f t="shared" si="2"/>
        <v>#VALUE!</v>
      </c>
      <c r="G51" s="55" t="e">
        <f t="shared" si="2"/>
        <v>#VALUE!</v>
      </c>
      <c r="H51" s="55" t="e">
        <f t="shared" si="2"/>
        <v>#VALUE!</v>
      </c>
      <c r="J51" s="63">
        <f>(1-(((1+'Model homes'!$E167)/(1+E$13))^E$14))/(E$13-'Model homes'!$E167)</f>
        <v>2.8432103792103223</v>
      </c>
    </row>
    <row r="52" spans="3:40" x14ac:dyDescent="0.3">
      <c r="C52" s="20"/>
      <c r="D52" s="15"/>
      <c r="E52" s="42"/>
      <c r="F52" s="55"/>
      <c r="G52" s="42"/>
      <c r="H52" s="42"/>
      <c r="J52" s="26"/>
    </row>
    <row r="53" spans="3:40" x14ac:dyDescent="0.3">
      <c r="C53" s="51" t="s">
        <v>522</v>
      </c>
      <c r="D53" s="84"/>
      <c r="E53" s="90"/>
      <c r="F53" s="90"/>
      <c r="G53" s="90"/>
      <c r="H53" s="90"/>
      <c r="J53" s="51" t="s">
        <v>523</v>
      </c>
      <c r="R53" s="51" t="s">
        <v>524</v>
      </c>
      <c r="Z53" s="51" t="s">
        <v>525</v>
      </c>
      <c r="AH53" s="51" t="s">
        <v>526</v>
      </c>
    </row>
    <row r="54" spans="3:40" ht="15.95" customHeight="1" x14ac:dyDescent="0.3">
      <c r="C54" s="20" t="s">
        <v>14</v>
      </c>
      <c r="D54" s="84" t="s">
        <v>527</v>
      </c>
      <c r="E54" s="130" t="e">
        <f>E21*'Model homes'!$J110*10^-6</f>
        <v>#VALUE!</v>
      </c>
      <c r="F54" s="130" t="e">
        <f>F21*'Model homes'!$J110*10^-6</f>
        <v>#VALUE!</v>
      </c>
      <c r="G54" s="130" t="e">
        <f>G21*'Model homes'!$J110*10^-6</f>
        <v>#VALUE!</v>
      </c>
      <c r="H54" s="130" t="e">
        <f>H21*'Model homes'!$J110*10^-6</f>
        <v>#VALUE!</v>
      </c>
      <c r="J54" s="209" t="s">
        <v>14</v>
      </c>
      <c r="L54" s="207" t="s">
        <v>528</v>
      </c>
      <c r="M54" s="130" t="e">
        <f>'Model homes'!$E274*E21*10^-6</f>
        <v>#DIV/0!</v>
      </c>
      <c r="N54" s="130" t="e">
        <f>'Model homes'!$E274*F21*10^-6</f>
        <v>#DIV/0!</v>
      </c>
      <c r="O54" s="130" t="e">
        <f>'Model homes'!$E274*G21*10^-6</f>
        <v>#DIV/0!</v>
      </c>
      <c r="P54" s="130" t="e">
        <f>'Model homes'!$E274*H21*10^-6</f>
        <v>#DIV/0!</v>
      </c>
      <c r="R54" s="209" t="s">
        <v>14</v>
      </c>
      <c r="T54" s="207" t="s">
        <v>529</v>
      </c>
      <c r="U54" s="130" t="e">
        <f>'Model homes'!$F274*E21*10^-6</f>
        <v>#DIV/0!</v>
      </c>
      <c r="V54" s="130" t="e">
        <f>'Model homes'!$F274*F21*10^-6</f>
        <v>#DIV/0!</v>
      </c>
      <c r="W54" s="130" t="e">
        <f>'Model homes'!$F274*G21*10^-6</f>
        <v>#DIV/0!</v>
      </c>
      <c r="X54" s="130" t="e">
        <f>'Model homes'!$F274*H21*10^-6</f>
        <v>#DIV/0!</v>
      </c>
      <c r="Z54" s="209" t="s">
        <v>14</v>
      </c>
      <c r="AB54" s="207" t="s">
        <v>530</v>
      </c>
      <c r="AC54" s="130" t="e">
        <f>'Model homes'!$G274*E21*10^-6</f>
        <v>#DIV/0!</v>
      </c>
      <c r="AD54" s="130" t="e">
        <f>'Model homes'!$G274*F21*10^-6</f>
        <v>#DIV/0!</v>
      </c>
      <c r="AE54" s="130" t="e">
        <f>'Model homes'!$G274*G21*10^-6</f>
        <v>#DIV/0!</v>
      </c>
      <c r="AF54" s="130" t="e">
        <f>'Model homes'!$G274*H21*10^-6</f>
        <v>#DIV/0!</v>
      </c>
      <c r="AH54" s="209" t="s">
        <v>14</v>
      </c>
      <c r="AJ54" s="207" t="s">
        <v>531</v>
      </c>
      <c r="AK54" s="130" t="e">
        <f>'Model homes'!$H274*E21*10^-6</f>
        <v>#DIV/0!</v>
      </c>
      <c r="AL54" s="130" t="e">
        <f>'Model homes'!$H274*F21*10^-6</f>
        <v>#DIV/0!</v>
      </c>
      <c r="AM54" s="130" t="e">
        <f>'Model homes'!$H274*G21*10^-6</f>
        <v>#DIV/0!</v>
      </c>
      <c r="AN54" s="130" t="e">
        <f>'Model homes'!$H274*H21*10^-6</f>
        <v>#DIV/0!</v>
      </c>
    </row>
    <row r="55" spans="3:40" ht="15.95" customHeight="1" x14ac:dyDescent="0.3">
      <c r="C55" s="14" t="s">
        <v>15</v>
      </c>
      <c r="D55" s="84" t="s">
        <v>527</v>
      </c>
      <c r="E55" s="130">
        <f>E22*'Model homes'!$J111*10^-6</f>
        <v>0</v>
      </c>
      <c r="F55" s="130">
        <f>F22*'Model homes'!$J111*10^-6</f>
        <v>0</v>
      </c>
      <c r="G55" s="130">
        <f>G22*'Model homes'!$J111*10^-6</f>
        <v>0</v>
      </c>
      <c r="H55" s="130">
        <f>H22*'Model homes'!$J111*10^-6</f>
        <v>0</v>
      </c>
      <c r="J55" s="213" t="s">
        <v>15</v>
      </c>
      <c r="L55" s="207" t="s">
        <v>528</v>
      </c>
      <c r="M55" s="130">
        <f>'Model homes'!$E275*E22*10^-6</f>
        <v>1.1054320009846151E-6</v>
      </c>
      <c r="N55" s="130">
        <f>'Model homes'!$E275*F22*10^-6</f>
        <v>1.0264725723428572E-6</v>
      </c>
      <c r="O55" s="130">
        <f>'Model homes'!$E275*G22*10^-6</f>
        <v>1.2011966693731342E-6</v>
      </c>
      <c r="P55" s="130">
        <f>'Model homes'!$E275*H22*10^-6</f>
        <v>1.1497168121142855E-6</v>
      </c>
      <c r="R55" s="213" t="s">
        <v>15</v>
      </c>
      <c r="T55" s="207" t="s">
        <v>529</v>
      </c>
      <c r="U55" s="130">
        <f>'Model homes'!$F275*E22*10^-6</f>
        <v>1.7134196015261533E-5</v>
      </c>
      <c r="V55" s="130">
        <f>'Model homes'!$F275*F22*10^-6</f>
        <v>1.5910324871314283E-5</v>
      </c>
      <c r="W55" s="130">
        <f>'Model homes'!$F275*G22*10^-6</f>
        <v>1.8618548375283578E-5</v>
      </c>
      <c r="X55" s="130">
        <f>'Model homes'!$F275*H22*10^-6</f>
        <v>1.7820610587771426E-5</v>
      </c>
      <c r="Z55" s="213" t="s">
        <v>15</v>
      </c>
      <c r="AB55" s="207" t="s">
        <v>530</v>
      </c>
      <c r="AC55" s="130">
        <f>'Model homes'!$G275*E22*10^-6</f>
        <v>3.8690120034461527E-6</v>
      </c>
      <c r="AD55" s="130">
        <f>'Model homes'!$G275*F22*10^-6</f>
        <v>3.5926540031999998E-6</v>
      </c>
      <c r="AE55" s="130">
        <f>'Model homes'!$G275*G22*10^-6</f>
        <v>4.2041883428059694E-6</v>
      </c>
      <c r="AF55" s="130">
        <f>'Model homes'!$G275*H22*10^-6</f>
        <v>4.0240088423999999E-6</v>
      </c>
      <c r="AH55" s="213" t="s">
        <v>15</v>
      </c>
      <c r="AJ55" s="207" t="s">
        <v>531</v>
      </c>
      <c r="AK55" s="130">
        <f>'Model homes'!$H275*E22*10^-6</f>
        <v>5.5271600049230755E-7</v>
      </c>
      <c r="AL55" s="130">
        <f>'Model homes'!$H275*F22*10^-6</f>
        <v>5.132362861714286E-7</v>
      </c>
      <c r="AM55" s="130">
        <f>'Model homes'!$H275*G22*10^-6</f>
        <v>6.0059833468656712E-7</v>
      </c>
      <c r="AN55" s="130">
        <f>'Model homes'!$H275*H22*10^-6</f>
        <v>5.7485840605714274E-7</v>
      </c>
    </row>
    <row r="56" spans="3:40" ht="15.95" customHeight="1" x14ac:dyDescent="0.3">
      <c r="C56" s="15" t="s">
        <v>16</v>
      </c>
      <c r="D56" s="84" t="s">
        <v>527</v>
      </c>
      <c r="E56" s="130">
        <f>E23*'Model homes'!$J112*10^-6</f>
        <v>0</v>
      </c>
      <c r="F56" s="130">
        <f>F23*'Model homes'!$J112*10^-6</f>
        <v>0</v>
      </c>
      <c r="G56" s="130">
        <f>G23*'Model homes'!$J112*10^-6</f>
        <v>0</v>
      </c>
      <c r="H56" s="130">
        <f>H23*'Model homes'!$J112*10^-6</f>
        <v>0</v>
      </c>
      <c r="J56" s="210" t="s">
        <v>16</v>
      </c>
      <c r="L56" s="207" t="s">
        <v>528</v>
      </c>
      <c r="M56" s="130">
        <f>'Model homes'!$E276*E23*10^-6</f>
        <v>8.9816350079999984E-7</v>
      </c>
      <c r="N56" s="130">
        <f>'Model homes'!$E276*F23*10^-6</f>
        <v>8.5539381028571415E-7</v>
      </c>
      <c r="O56" s="130">
        <f>'Model homes'!$E276*G23*10^-6</f>
        <v>9.8146557131707301E-7</v>
      </c>
      <c r="P56" s="130">
        <f>'Model homes'!$E276*H23*10^-6</f>
        <v>9.5809734342857133E-7</v>
      </c>
      <c r="R56" s="210" t="s">
        <v>16</v>
      </c>
      <c r="T56" s="207" t="s">
        <v>529</v>
      </c>
      <c r="U56" s="130">
        <f>'Model homes'!$F276*E23*10^-6</f>
        <v>1.3921534262399996E-5</v>
      </c>
      <c r="V56" s="130">
        <f>'Model homes'!$F276*F23*10^-6</f>
        <v>1.3258604059428568E-5</v>
      </c>
      <c r="W56" s="130">
        <f>'Model homes'!$F276*G23*10^-6</f>
        <v>1.5212716355414633E-5</v>
      </c>
      <c r="X56" s="130">
        <f>'Model homes'!$F276*H23*10^-6</f>
        <v>1.4850508823142854E-5</v>
      </c>
      <c r="Z56" s="210" t="s">
        <v>16</v>
      </c>
      <c r="AB56" s="207" t="s">
        <v>530</v>
      </c>
      <c r="AC56" s="130">
        <f>'Model homes'!$G276*E23*10^-6</f>
        <v>3.1435722527999993E-6</v>
      </c>
      <c r="AD56" s="130">
        <f>'Model homes'!$G276*F23*10^-6</f>
        <v>2.9938783359999996E-6</v>
      </c>
      <c r="AE56" s="130">
        <f>'Model homes'!$G276*G23*10^-6</f>
        <v>3.4351294996097561E-6</v>
      </c>
      <c r="AF56" s="130">
        <f>'Model homes'!$G276*H23*10^-6</f>
        <v>3.3533407019999994E-6</v>
      </c>
      <c r="AH56" s="210" t="s">
        <v>16</v>
      </c>
      <c r="AJ56" s="207" t="s">
        <v>531</v>
      </c>
      <c r="AK56" s="130">
        <f>'Model homes'!$H276*E23*10^-6</f>
        <v>4.4908175039999992E-7</v>
      </c>
      <c r="AL56" s="130">
        <f>'Model homes'!$H276*F23*10^-6</f>
        <v>4.2769690514285708E-7</v>
      </c>
      <c r="AM56" s="130">
        <f>'Model homes'!$H276*G23*10^-6</f>
        <v>4.907327856585365E-7</v>
      </c>
      <c r="AN56" s="130">
        <f>'Model homes'!$H276*H23*10^-6</f>
        <v>4.7904867171428567E-7</v>
      </c>
    </row>
    <row r="57" spans="3:40" ht="15.95" customHeight="1" x14ac:dyDescent="0.3">
      <c r="C57" s="15" t="s">
        <v>17</v>
      </c>
      <c r="D57" s="84" t="s">
        <v>527</v>
      </c>
      <c r="E57" s="130">
        <f>E24*'Model homes'!$J113*10^-6</f>
        <v>2.0693687058431998E-2</v>
      </c>
      <c r="F57" s="130">
        <f>F24*'Model homes'!$J113*10^-6</f>
        <v>1.9215566554258285E-2</v>
      </c>
      <c r="G57" s="130">
        <f>G24*'Model homes'!$J113*10^-6</f>
        <v>2.3178290932223997E-2</v>
      </c>
      <c r="H57" s="130">
        <f>H24*'Model homes'!$J113*10^-6</f>
        <v>2.1522698722779426E-2</v>
      </c>
      <c r="J57" s="210" t="s">
        <v>17</v>
      </c>
      <c r="L57" s="207" t="s">
        <v>528</v>
      </c>
      <c r="M57" s="130">
        <f>'Model homes'!$E277*E24*10^-6</f>
        <v>1.0501604009353845E-5</v>
      </c>
      <c r="N57" s="130">
        <f>'Model homes'!$E277*F24*10^-6</f>
        <v>9.7514894372571417E-6</v>
      </c>
      <c r="O57" s="130">
        <f>'Model homes'!$E277*G24*10^-6</f>
        <v>1.1762487385476921E-5</v>
      </c>
      <c r="P57" s="130">
        <f>'Model homes'!$E277*H24*10^-6</f>
        <v>1.0922309715085712E-5</v>
      </c>
      <c r="R57" s="210" t="s">
        <v>17</v>
      </c>
      <c r="T57" s="207" t="s">
        <v>529</v>
      </c>
      <c r="U57" s="130">
        <f>'Model homes'!$F277*E24*10^-6</f>
        <v>1.5476048013784611E-5</v>
      </c>
      <c r="V57" s="130">
        <f>'Model homes'!$F277*F24*10^-6</f>
        <v>1.4370616012799999E-5</v>
      </c>
      <c r="W57" s="130">
        <f>'Model homes'!$F277*G24*10^-6</f>
        <v>1.7334191936492304E-5</v>
      </c>
      <c r="X57" s="130">
        <f>'Model homes'!$F277*H24*10^-6</f>
        <v>1.60960353696E-5</v>
      </c>
      <c r="Z57" s="210" t="s">
        <v>17</v>
      </c>
      <c r="AB57" s="207" t="s">
        <v>530</v>
      </c>
      <c r="AC57" s="130">
        <f>'Model homes'!$G277*E24*10^-6</f>
        <v>5.5271600049230755E-7</v>
      </c>
      <c r="AD57" s="130">
        <f>'Model homes'!$G277*F24*10^-6</f>
        <v>5.132362861714286E-7</v>
      </c>
      <c r="AE57" s="130">
        <f>'Model homes'!$G277*G24*10^-6</f>
        <v>6.1907828344615377E-7</v>
      </c>
      <c r="AF57" s="130">
        <f>'Model homes'!$G277*H24*10^-6</f>
        <v>5.7485840605714274E-7</v>
      </c>
      <c r="AH57" s="210" t="s">
        <v>17</v>
      </c>
      <c r="AJ57" s="207" t="s">
        <v>531</v>
      </c>
      <c r="AK57" s="130">
        <f>'Model homes'!$H277*E24*10^-6</f>
        <v>5.5271600049230755E-7</v>
      </c>
      <c r="AL57" s="130">
        <f>'Model homes'!$H277*F24*10^-6</f>
        <v>5.132362861714286E-7</v>
      </c>
      <c r="AM57" s="130">
        <f>'Model homes'!$H277*G24*10^-6</f>
        <v>6.1907828344615377E-7</v>
      </c>
      <c r="AN57" s="130">
        <f>'Model homes'!$H277*H24*10^-6</f>
        <v>5.7485840605714274E-7</v>
      </c>
    </row>
    <row r="58" spans="3:40" ht="15.95" customHeight="1" x14ac:dyDescent="0.3">
      <c r="C58" s="15" t="s">
        <v>18</v>
      </c>
      <c r="D58" s="84" t="s">
        <v>527</v>
      </c>
      <c r="E58" s="130">
        <f>E25*'Model homes'!$J114*10^-6</f>
        <v>1.0346843529215997E-2</v>
      </c>
      <c r="F58" s="130">
        <f>F25*'Model homes'!$J114*10^-6</f>
        <v>9.7382056745562318E-3</v>
      </c>
      <c r="G58" s="130">
        <f>G25*'Model homes'!$J114*10^-6</f>
        <v>1.1589145466111998E-2</v>
      </c>
      <c r="H58" s="130">
        <f>H25*'Model homes'!$J114*10^-6</f>
        <v>1.0907431026928939E-2</v>
      </c>
      <c r="J58" s="210" t="s">
        <v>18</v>
      </c>
      <c r="L58" s="207" t="s">
        <v>528</v>
      </c>
      <c r="M58" s="130">
        <f>'Model homes'!$E278*E25*10^-6</f>
        <v>8.083471507199997E-6</v>
      </c>
      <c r="N58" s="130">
        <f>'Model homes'!$E278*F25*10^-6</f>
        <v>7.6079731832470563E-6</v>
      </c>
      <c r="O58" s="130">
        <f>'Model homes'!$E278*G25*10^-6</f>
        <v>9.0540198953999977E-6</v>
      </c>
      <c r="P58" s="130">
        <f>'Model homes'!$E278*H25*10^-6</f>
        <v>8.521430489788233E-6</v>
      </c>
      <c r="R58" s="210" t="s">
        <v>18</v>
      </c>
      <c r="T58" s="207" t="s">
        <v>529</v>
      </c>
      <c r="U58" s="130">
        <f>'Model homes'!$F278*E25*10^-6</f>
        <v>3.1435722527999988E-5</v>
      </c>
      <c r="V58" s="130">
        <f>'Model homes'!$F278*F25*10^-6</f>
        <v>2.9586562379294112E-5</v>
      </c>
      <c r="W58" s="130">
        <f>'Model homes'!$F278*G25*10^-6</f>
        <v>3.5210077370999991E-5</v>
      </c>
      <c r="X58" s="130">
        <f>'Model homes'!$F278*H25*10^-6</f>
        <v>3.3138896349176462E-5</v>
      </c>
      <c r="Z58" s="210" t="s">
        <v>18</v>
      </c>
      <c r="AB58" s="207" t="s">
        <v>530</v>
      </c>
      <c r="AC58" s="130">
        <f>'Model homes'!$G278*E25*10^-6</f>
        <v>4.4908175039999992E-7</v>
      </c>
      <c r="AD58" s="130">
        <f>'Model homes'!$G278*F25*10^-6</f>
        <v>4.2266517684705871E-7</v>
      </c>
      <c r="AE58" s="130">
        <f>'Model homes'!$G278*G25*10^-6</f>
        <v>5.0300110529999988E-7</v>
      </c>
      <c r="AF58" s="130">
        <f>'Model homes'!$G278*H25*10^-6</f>
        <v>4.734128049882352E-7</v>
      </c>
      <c r="AH58" s="210" t="s">
        <v>18</v>
      </c>
      <c r="AJ58" s="207" t="s">
        <v>531</v>
      </c>
      <c r="AK58" s="130">
        <f>'Model homes'!$H278*E25*10^-6</f>
        <v>4.4908175039999992E-7</v>
      </c>
      <c r="AL58" s="130">
        <f>'Model homes'!$H278*F25*10^-6</f>
        <v>4.2266517684705871E-7</v>
      </c>
      <c r="AM58" s="130">
        <f>'Model homes'!$H278*G25*10^-6</f>
        <v>5.0300110529999988E-7</v>
      </c>
      <c r="AN58" s="130">
        <f>'Model homes'!$H278*H25*10^-6</f>
        <v>4.734128049882352E-7</v>
      </c>
    </row>
    <row r="59" spans="3:40" ht="15.95" customHeight="1" x14ac:dyDescent="0.3">
      <c r="C59" s="15" t="s">
        <v>19</v>
      </c>
      <c r="D59" s="84" t="s">
        <v>527</v>
      </c>
      <c r="E59" s="130">
        <f>E26*'Model homes'!$J115*10^-6</f>
        <v>1.2610215551231997E-2</v>
      </c>
      <c r="F59" s="130">
        <f>F26*'Model homes'!$J115*10^-6</f>
        <v>1.1730433070913485E-2</v>
      </c>
      <c r="G59" s="130">
        <f>G26*'Model homes'!$J115*10^-6</f>
        <v>1.4124271036823998E-2</v>
      </c>
      <c r="H59" s="130">
        <f>H26*'Model homes'!$J115*10^-6</f>
        <v>1.3138856778440929E-2</v>
      </c>
      <c r="J59" s="210" t="s">
        <v>19</v>
      </c>
      <c r="L59" s="207" t="s">
        <v>528</v>
      </c>
      <c r="M59" s="130">
        <f>'Model homes'!$E279*E26*10^-6</f>
        <v>8.083471507199997E-6</v>
      </c>
      <c r="N59" s="130">
        <f>'Model homes'!$E279*F26*10^-6</f>
        <v>7.5195083787906962E-6</v>
      </c>
      <c r="O59" s="130">
        <f>'Model homes'!$E279*G26*10^-6</f>
        <v>9.0540198953999977E-6</v>
      </c>
      <c r="P59" s="130">
        <f>'Model homes'!$E279*H26*10^-6</f>
        <v>8.422344088744185E-6</v>
      </c>
      <c r="R59" s="210" t="s">
        <v>19</v>
      </c>
      <c r="T59" s="207" t="s">
        <v>529</v>
      </c>
      <c r="U59" s="130">
        <f>'Model homes'!$F279*E26*10^-6</f>
        <v>3.1435722527999988E-5</v>
      </c>
      <c r="V59" s="130">
        <f>'Model homes'!$F279*F26*10^-6</f>
        <v>2.9242532584186038E-5</v>
      </c>
      <c r="W59" s="130">
        <f>'Model homes'!$F279*G26*10^-6</f>
        <v>3.5210077370999991E-5</v>
      </c>
      <c r="X59" s="130">
        <f>'Model homes'!$F279*H26*10^-6</f>
        <v>3.2753560345116278E-5</v>
      </c>
      <c r="Z59" s="210" t="s">
        <v>19</v>
      </c>
      <c r="AB59" s="207" t="s">
        <v>530</v>
      </c>
      <c r="AC59" s="130">
        <f>'Model homes'!$G279*E26*10^-6</f>
        <v>4.4908175039999992E-7</v>
      </c>
      <c r="AD59" s="130">
        <f>'Model homes'!$G279*F26*10^-6</f>
        <v>4.1775046548837202E-7</v>
      </c>
      <c r="AE59" s="130">
        <f>'Model homes'!$G279*G26*10^-6</f>
        <v>5.0300110529999988E-7</v>
      </c>
      <c r="AF59" s="130">
        <f>'Model homes'!$G279*H26*10^-6</f>
        <v>4.6790800493023252E-7</v>
      </c>
      <c r="AH59" s="210" t="s">
        <v>19</v>
      </c>
      <c r="AJ59" s="207" t="s">
        <v>531</v>
      </c>
      <c r="AK59" s="130">
        <f>'Model homes'!$H279*E26*10^-6</f>
        <v>4.4908175039999992E-7</v>
      </c>
      <c r="AL59" s="130">
        <f>'Model homes'!$H279*F26*10^-6</f>
        <v>4.1775046548837202E-7</v>
      </c>
      <c r="AM59" s="130">
        <f>'Model homes'!$H279*G26*10^-6</f>
        <v>5.0300110529999988E-7</v>
      </c>
      <c r="AN59" s="130">
        <f>'Model homes'!$H279*H26*10^-6</f>
        <v>4.6790800493023252E-7</v>
      </c>
    </row>
    <row r="60" spans="3:40" ht="15.95" customHeight="1" x14ac:dyDescent="0.3">
      <c r="C60" s="14" t="s">
        <v>20</v>
      </c>
      <c r="D60" s="84" t="s">
        <v>527</v>
      </c>
      <c r="E60" s="130">
        <f>E27*'Model homes'!$J116*10^-6</f>
        <v>8.4600661797707265E-3</v>
      </c>
      <c r="F60" s="130">
        <f>F27*'Model homes'!$J116*10^-6</f>
        <v>8.2655818997759995E-3</v>
      </c>
      <c r="G60" s="130">
        <f>G27*'Model homes'!$J116*10^-6</f>
        <v>9.2579955160319981E-3</v>
      </c>
      <c r="H60" s="130">
        <f>H27*'Model homes'!$J116*10^-6</f>
        <v>9.2579955160319981E-3</v>
      </c>
      <c r="J60" s="213" t="s">
        <v>20</v>
      </c>
      <c r="L60" s="207" t="s">
        <v>528</v>
      </c>
      <c r="M60" s="130">
        <f>'Model homes'!$E280*E27*10^-6</f>
        <v>0</v>
      </c>
      <c r="N60" s="130">
        <f>'Model homes'!$E280*F27*10^-6</f>
        <v>0</v>
      </c>
      <c r="O60" s="130">
        <f>'Model homes'!$E280*G27*10^-6</f>
        <v>0</v>
      </c>
      <c r="P60" s="130">
        <f>'Model homes'!$E280*H27*10^-6</f>
        <v>0</v>
      </c>
      <c r="R60" s="213" t="s">
        <v>20</v>
      </c>
      <c r="T60" s="207" t="s">
        <v>529</v>
      </c>
      <c r="U60" s="130">
        <f>'Model homes'!$F280*E27*10^-6</f>
        <v>5.4946472990117641E-6</v>
      </c>
      <c r="V60" s="130">
        <f>'Model homes'!$F280*F27*10^-6</f>
        <v>5.3683335679999997E-6</v>
      </c>
      <c r="W60" s="130">
        <f>'Model homes'!$F280*G27*10^-6</f>
        <v>6.0128867759999991E-6</v>
      </c>
      <c r="X60" s="130">
        <f>'Model homes'!$F280*H27*10^-6</f>
        <v>6.0128867759999991E-6</v>
      </c>
      <c r="Z60" s="213" t="s">
        <v>20</v>
      </c>
      <c r="AB60" s="207" t="s">
        <v>530</v>
      </c>
      <c r="AC60" s="130">
        <f>'Model homes'!$G280*E27*10^-6</f>
        <v>0</v>
      </c>
      <c r="AD60" s="130">
        <f>'Model homes'!$G280*F27*10^-6</f>
        <v>0</v>
      </c>
      <c r="AE60" s="130">
        <f>'Model homes'!$G280*G27*10^-6</f>
        <v>0</v>
      </c>
      <c r="AF60" s="130">
        <f>'Model homes'!$G280*H27*10^-6</f>
        <v>0</v>
      </c>
      <c r="AH60" s="213" t="s">
        <v>20</v>
      </c>
      <c r="AJ60" s="207" t="s">
        <v>531</v>
      </c>
      <c r="AK60" s="130">
        <f>'Model homes'!$H280*E27*10^-6</f>
        <v>0</v>
      </c>
      <c r="AL60" s="130">
        <f>'Model homes'!$H280*F27*10^-6</f>
        <v>0</v>
      </c>
      <c r="AM60" s="130">
        <f>'Model homes'!$H280*G27*10^-6</f>
        <v>0</v>
      </c>
      <c r="AN60" s="130">
        <f>'Model homes'!$H280*H27*10^-6</f>
        <v>0</v>
      </c>
    </row>
    <row r="61" spans="3:40" ht="15.95" customHeight="1" x14ac:dyDescent="0.3">
      <c r="C61" s="14" t="s">
        <v>21</v>
      </c>
      <c r="D61" s="84" t="s">
        <v>527</v>
      </c>
      <c r="E61" s="130" t="e">
        <f>E28*'Model homes'!$J117*10^-6</f>
        <v>#N/A</v>
      </c>
      <c r="F61" s="130" t="e">
        <f>F28*'Model homes'!$J117*10^-6</f>
        <v>#N/A</v>
      </c>
      <c r="G61" s="130" t="e">
        <f>G28*'Model homes'!$J117*10^-6</f>
        <v>#N/A</v>
      </c>
      <c r="H61" s="130" t="e">
        <f>H28*'Model homes'!$J117*10^-6</f>
        <v>#N/A</v>
      </c>
      <c r="J61" s="213" t="s">
        <v>21</v>
      </c>
      <c r="L61" s="207" t="s">
        <v>528</v>
      </c>
      <c r="M61" s="130" t="e">
        <f>'Model homes'!$E281*E28*10^-6</f>
        <v>#DIV/0!</v>
      </c>
      <c r="N61" s="130" t="e">
        <f>'Model homes'!$E281*F28*10^-6</f>
        <v>#DIV/0!</v>
      </c>
      <c r="O61" s="130" t="e">
        <f>'Model homes'!$E281*G28*10^-6</f>
        <v>#DIV/0!</v>
      </c>
      <c r="P61" s="130" t="e">
        <f>'Model homes'!$E281*H28*10^-6</f>
        <v>#DIV/0!</v>
      </c>
      <c r="R61" s="213" t="s">
        <v>21</v>
      </c>
      <c r="T61" s="207" t="s">
        <v>529</v>
      </c>
      <c r="U61" s="130" t="e">
        <f>'Model homes'!$F281*E28*10^-6</f>
        <v>#DIV/0!</v>
      </c>
      <c r="V61" s="130" t="e">
        <f>'Model homes'!$F281*F28*10^-6</f>
        <v>#DIV/0!</v>
      </c>
      <c r="W61" s="130" t="e">
        <f>'Model homes'!$F281*G28*10^-6</f>
        <v>#DIV/0!</v>
      </c>
      <c r="X61" s="130" t="e">
        <f>'Model homes'!$F281*H28*10^-6</f>
        <v>#DIV/0!</v>
      </c>
      <c r="Z61" s="213" t="s">
        <v>21</v>
      </c>
      <c r="AB61" s="207" t="s">
        <v>530</v>
      </c>
      <c r="AC61" s="130" t="e">
        <f>'Model homes'!$G281*E28*10^-6</f>
        <v>#DIV/0!</v>
      </c>
      <c r="AD61" s="130" t="e">
        <f>'Model homes'!$G281*F28*10^-6</f>
        <v>#DIV/0!</v>
      </c>
      <c r="AE61" s="130" t="e">
        <f>'Model homes'!$G281*G28*10^-6</f>
        <v>#DIV/0!</v>
      </c>
      <c r="AF61" s="130" t="e">
        <f>'Model homes'!$G281*H28*10^-6</f>
        <v>#DIV/0!</v>
      </c>
      <c r="AH61" s="213" t="s">
        <v>21</v>
      </c>
      <c r="AJ61" s="207" t="s">
        <v>531</v>
      </c>
      <c r="AK61" s="130" t="e">
        <f>'Model homes'!$H281*E28*10^-6</f>
        <v>#DIV/0!</v>
      </c>
      <c r="AL61" s="130" t="e">
        <f>'Model homes'!$H281*F28*10^-6</f>
        <v>#DIV/0!</v>
      </c>
      <c r="AM61" s="130" t="e">
        <f>'Model homes'!$H281*G28*10^-6</f>
        <v>#DIV/0!</v>
      </c>
      <c r="AN61" s="130" t="e">
        <f>'Model homes'!$H281*H28*10^-6</f>
        <v>#DIV/0!</v>
      </c>
    </row>
    <row r="62" spans="3:40" ht="15.95" customHeight="1" x14ac:dyDescent="0.3">
      <c r="C62" s="14" t="s">
        <v>22</v>
      </c>
      <c r="D62" s="84" t="s">
        <v>527</v>
      </c>
      <c r="E62" s="130" t="e">
        <f>E29*'Model homes'!$J118*10^-6</f>
        <v>#N/A</v>
      </c>
      <c r="F62" s="130" t="e">
        <f>F29*'Model homes'!$J118*10^-6</f>
        <v>#N/A</v>
      </c>
      <c r="G62" s="130" t="e">
        <f>G29*'Model homes'!$J118*10^-6</f>
        <v>#N/A</v>
      </c>
      <c r="H62" s="130" t="e">
        <f>H29*'Model homes'!$J118*10^-6</f>
        <v>#N/A</v>
      </c>
      <c r="J62" s="213" t="s">
        <v>22</v>
      </c>
      <c r="L62" s="207" t="s">
        <v>528</v>
      </c>
      <c r="M62" s="130" t="e">
        <f>'Model homes'!$E282*E29*10^-6</f>
        <v>#DIV/0!</v>
      </c>
      <c r="N62" s="130" t="e">
        <f>'Model homes'!$E282*F29*10^-6</f>
        <v>#DIV/0!</v>
      </c>
      <c r="O62" s="130" t="e">
        <f>'Model homes'!$E282*G29*10^-6</f>
        <v>#DIV/0!</v>
      </c>
      <c r="P62" s="130" t="e">
        <f>'Model homes'!$E282*H29*10^-6</f>
        <v>#DIV/0!</v>
      </c>
      <c r="R62" s="213" t="s">
        <v>22</v>
      </c>
      <c r="T62" s="207" t="s">
        <v>529</v>
      </c>
      <c r="U62" s="130" t="e">
        <f>'Model homes'!$F282*E29*10^-6</f>
        <v>#DIV/0!</v>
      </c>
      <c r="V62" s="130" t="e">
        <f>'Model homes'!$F282*F29*10^-6</f>
        <v>#DIV/0!</v>
      </c>
      <c r="W62" s="130" t="e">
        <f>'Model homes'!$F282*G29*10^-6</f>
        <v>#DIV/0!</v>
      </c>
      <c r="X62" s="130" t="e">
        <f>'Model homes'!$F282*H29*10^-6</f>
        <v>#DIV/0!</v>
      </c>
      <c r="Z62" s="213" t="s">
        <v>22</v>
      </c>
      <c r="AB62" s="207" t="s">
        <v>530</v>
      </c>
      <c r="AC62" s="130" t="e">
        <f>'Model homes'!$G282*E29*10^-6</f>
        <v>#DIV/0!</v>
      </c>
      <c r="AD62" s="130" t="e">
        <f>'Model homes'!$G282*F29*10^-6</f>
        <v>#DIV/0!</v>
      </c>
      <c r="AE62" s="130" t="e">
        <f>'Model homes'!$G282*G29*10^-6</f>
        <v>#DIV/0!</v>
      </c>
      <c r="AF62" s="130" t="e">
        <f>'Model homes'!$G282*H29*10^-6</f>
        <v>#DIV/0!</v>
      </c>
      <c r="AH62" s="213" t="s">
        <v>22</v>
      </c>
      <c r="AJ62" s="207" t="s">
        <v>531</v>
      </c>
      <c r="AK62" s="130" t="e">
        <f>'Model homes'!$H282*E29*10^-6</f>
        <v>#DIV/0!</v>
      </c>
      <c r="AL62" s="130" t="e">
        <f>'Model homes'!$H282*F29*10^-6</f>
        <v>#DIV/0!</v>
      </c>
      <c r="AM62" s="130" t="e">
        <f>'Model homes'!$H282*G29*10^-6</f>
        <v>#DIV/0!</v>
      </c>
      <c r="AN62" s="130" t="e">
        <f>'Model homes'!$H282*H29*10^-6</f>
        <v>#DIV/0!</v>
      </c>
    </row>
    <row r="63" spans="3:40" x14ac:dyDescent="0.3">
      <c r="J63" s="26"/>
      <c r="L63" s="207"/>
      <c r="R63" s="26"/>
      <c r="T63" s="207"/>
      <c r="Z63" s="26"/>
      <c r="AB63" s="207"/>
      <c r="AH63" s="26"/>
      <c r="AJ63" s="207"/>
    </row>
    <row r="64" spans="3:40" x14ac:dyDescent="0.3">
      <c r="C64" s="51" t="s">
        <v>313</v>
      </c>
      <c r="E64" s="106"/>
      <c r="J64" s="51" t="s">
        <v>532</v>
      </c>
      <c r="R64" s="51" t="s">
        <v>533</v>
      </c>
      <c r="Z64" s="51" t="s">
        <v>534</v>
      </c>
      <c r="AH64" s="51" t="s">
        <v>535</v>
      </c>
    </row>
    <row r="65" spans="3:40" x14ac:dyDescent="0.3">
      <c r="C65" s="20" t="s">
        <v>14</v>
      </c>
      <c r="D65" s="84" t="s">
        <v>536</v>
      </c>
      <c r="E65" s="42" t="e">
        <f>LOOKUP(E$14,'Model homes'!$C$203:$C$227,'Model homes'!$F$203:$F$227)*E54</f>
        <v>#VALUE!</v>
      </c>
      <c r="F65" s="42" t="e">
        <f>LOOKUP(F$14,'Model homes'!$C$203:$C$227,'Model homes'!$F$203:$F$227)*F54</f>
        <v>#VALUE!</v>
      </c>
      <c r="G65" s="42" t="e">
        <f>LOOKUP(G$14,'Model homes'!$C$203:$C$227,'Model homes'!$F$203:$F$227)*G54</f>
        <v>#VALUE!</v>
      </c>
      <c r="H65" s="42" t="e">
        <f>LOOKUP(H$14,'Model homes'!$C$203:$C$227,'Model homes'!$F$203:$F$227)*H54</f>
        <v>#VALUE!</v>
      </c>
      <c r="J65" s="209" t="s">
        <v>14</v>
      </c>
      <c r="L65" s="207" t="s">
        <v>536</v>
      </c>
      <c r="M65" s="159" t="e">
        <f>LOOKUP(E$14,'Model homes'!$C$351:$C$375,'Model homes'!$E$351:$E$375)*M54</f>
        <v>#DIV/0!</v>
      </c>
      <c r="N65" s="159" t="e">
        <f>LOOKUP(F$14,'Model homes'!$C$351:$C$375,'Model homes'!$E$351:$E$375)*N54</f>
        <v>#DIV/0!</v>
      </c>
      <c r="O65" s="159" t="e">
        <f>LOOKUP(G$14,'Model homes'!$C$351:$C$375,'Model homes'!$E$351:$E$375)*O54</f>
        <v>#DIV/0!</v>
      </c>
      <c r="P65" s="159" t="e">
        <f>LOOKUP(H$14,'Model homes'!$C$351:$C$375,'Model homes'!$E$351:$E$375)*P54</f>
        <v>#DIV/0!</v>
      </c>
      <c r="R65" s="209" t="s">
        <v>14</v>
      </c>
      <c r="T65" s="207" t="s">
        <v>536</v>
      </c>
      <c r="U65" s="159" t="e">
        <f>LOOKUP(E$14,'Model homes'!$C$351:$C$375,'Model homes'!$F$351:$F$375)*U54</f>
        <v>#DIV/0!</v>
      </c>
      <c r="V65" s="159" t="e">
        <f>LOOKUP(F$14,'Model homes'!$C$351:$C$375,'Model homes'!$F$351:$F$375)*V54</f>
        <v>#DIV/0!</v>
      </c>
      <c r="W65" s="159" t="e">
        <f>LOOKUP(G$14,'Model homes'!$C$351:$C$375,'Model homes'!$F$351:$F$375)*W54</f>
        <v>#DIV/0!</v>
      </c>
      <c r="X65" s="159" t="e">
        <f>LOOKUP(H$14,'Model homes'!$C$351:$C$375,'Model homes'!$F$351:$F$375)*X54</f>
        <v>#DIV/0!</v>
      </c>
      <c r="Z65" s="209" t="s">
        <v>14</v>
      </c>
      <c r="AB65" s="207" t="s">
        <v>536</v>
      </c>
      <c r="AC65" s="159" t="e">
        <f>LOOKUP(E$14,'Model homes'!$C$351:$C$375,'Model homes'!$G$351:$G$375)*AC54</f>
        <v>#DIV/0!</v>
      </c>
      <c r="AD65" s="159" t="e">
        <f>LOOKUP(F$14,'Model homes'!$C$351:$C$375,'Model homes'!$G$351:$G$375)*AD54</f>
        <v>#DIV/0!</v>
      </c>
      <c r="AE65" s="159" t="e">
        <f>LOOKUP(G$14,'Model homes'!$C$351:$C$375,'Model homes'!$G$351:$G$375)*AE54</f>
        <v>#DIV/0!</v>
      </c>
      <c r="AF65" s="159" t="e">
        <f>LOOKUP(H$14,'Model homes'!$C$351:$C$375,'Model homes'!$G$351:$G$375)*AF54</f>
        <v>#DIV/0!</v>
      </c>
      <c r="AH65" s="209" t="s">
        <v>14</v>
      </c>
      <c r="AJ65" s="207" t="s">
        <v>536</v>
      </c>
      <c r="AK65" s="159" t="e">
        <f>LOOKUP(E$14,'Model homes'!$C$351:$C$375,'Model homes'!$H$351:$H$375)*AK54</f>
        <v>#DIV/0!</v>
      </c>
      <c r="AL65" s="159" t="e">
        <f>LOOKUP(F$14,'Model homes'!$C$351:$C$375,'Model homes'!$H$351:$H$375)*AL54</f>
        <v>#DIV/0!</v>
      </c>
      <c r="AM65" s="159" t="e">
        <f>LOOKUP(G$14,'Model homes'!$C$351:$C$375,'Model homes'!$H$351:$H$375)*AM54</f>
        <v>#DIV/0!</v>
      </c>
      <c r="AN65" s="159" t="e">
        <f>LOOKUP(H$14,'Model homes'!$C$351:$C$375,'Model homes'!$H$351:$H$375)*AN54</f>
        <v>#DIV/0!</v>
      </c>
    </row>
    <row r="66" spans="3:40" x14ac:dyDescent="0.3">
      <c r="C66" s="14" t="s">
        <v>15</v>
      </c>
      <c r="D66" s="84" t="s">
        <v>536</v>
      </c>
      <c r="E66" s="42">
        <f>LOOKUP(E$14,'Model homes'!$C$203:$C$227,'Model homes'!$F$203:$F$227)*E55</f>
        <v>0</v>
      </c>
      <c r="F66" s="42">
        <f>LOOKUP(F$14,'Model homes'!$C$203:$C$227,'Model homes'!$F$203:$F$227)*F55</f>
        <v>0</v>
      </c>
      <c r="G66" s="42">
        <f>LOOKUP(G$14,'Model homes'!$C$203:$C$227,'Model homes'!$F$203:$F$227)*G55</f>
        <v>0</v>
      </c>
      <c r="H66" s="42">
        <f>LOOKUP(H$14,'Model homes'!$C$203:$C$227,'Model homes'!$F$203:$F$227)*H55</f>
        <v>0</v>
      </c>
      <c r="J66" s="213" t="s">
        <v>15</v>
      </c>
      <c r="L66" s="207" t="s">
        <v>536</v>
      </c>
      <c r="M66" s="42">
        <f>LOOKUP(E$14,'Model homes'!$C$351:$C$375,'Model homes'!$E$351:$E$375)*M55</f>
        <v>2.1493727496090874E-2</v>
      </c>
      <c r="N66" s="42">
        <f>LOOKUP(F$14,'Model homes'!$C$351:$C$375,'Model homes'!$E$351:$E$375)*N55</f>
        <v>1.9958461246370105E-2</v>
      </c>
      <c r="O66" s="42">
        <f>LOOKUP(G$14,'Model homes'!$C$351:$C$375,'Model homes'!$E$351:$E$375)*O55</f>
        <v>2.3355750383308688E-2</v>
      </c>
      <c r="P66" s="42">
        <f>LOOKUP(H$14,'Model homes'!$C$351:$C$375,'Model homes'!$E$351:$E$375)*P55</f>
        <v>2.2354789652595457E-2</v>
      </c>
      <c r="R66" s="213" t="s">
        <v>15</v>
      </c>
      <c r="T66" s="207" t="s">
        <v>536</v>
      </c>
      <c r="U66" s="42">
        <f>LOOKUP(E$14,'Model homes'!$C$351:$C$375,'Model homes'!$F$351:$F$375)*U55</f>
        <v>0.29118110286143067</v>
      </c>
      <c r="V66" s="42">
        <f>LOOKUP(F$14,'Model homes'!$C$351:$C$375,'Model homes'!$F$351:$F$375)*V55</f>
        <v>0.2703824526570428</v>
      </c>
      <c r="W66" s="42">
        <f>LOOKUP(G$14,'Model homes'!$C$351:$C$375,'Model homes'!$F$351:$F$375)*W55</f>
        <v>0.31640641000984954</v>
      </c>
      <c r="X66" s="42">
        <f>LOOKUP(H$14,'Model homes'!$C$351:$C$375,'Model homes'!$F$351:$F$375)*X55</f>
        <v>0.30284613529514171</v>
      </c>
      <c r="Z66" s="213" t="s">
        <v>15</v>
      </c>
      <c r="AB66" s="207" t="s">
        <v>536</v>
      </c>
      <c r="AC66" s="42">
        <f>LOOKUP(E$14,'Model homes'!$C$351:$C$375,'Model homes'!$G$351:$G$375)*AC55</f>
        <v>0.13090895235749414</v>
      </c>
      <c r="AD66" s="42">
        <f>LOOKUP(F$14,'Model homes'!$C$351:$C$375,'Model homes'!$G$351:$G$375)*AD55</f>
        <v>0.12155831290338744</v>
      </c>
      <c r="AE66" s="42">
        <f>LOOKUP(G$14,'Model homes'!$C$351:$C$375,'Model homes'!$G$351:$G$375)*AE55</f>
        <v>0.14224972447232126</v>
      </c>
      <c r="AF66" s="42">
        <f>LOOKUP(H$14,'Model homes'!$C$351:$C$375,'Model homes'!$G$351:$G$375)*AF55</f>
        <v>0.13615330770922179</v>
      </c>
      <c r="AH66" s="213" t="s">
        <v>15</v>
      </c>
      <c r="AJ66" s="207" t="s">
        <v>536</v>
      </c>
      <c r="AK66" s="42">
        <f>LOOKUP(E$14,'Model homes'!$C$351:$C$375,'Model homes'!$H$351:$H$375)*AK55</f>
        <v>1.0154358501372476E-3</v>
      </c>
      <c r="AL66" s="42">
        <f>LOOKUP(F$14,'Model homes'!$C$351:$C$375,'Model homes'!$H$351:$H$375)*AL55</f>
        <v>9.4290471798458731E-4</v>
      </c>
      <c r="AM66" s="42">
        <f>LOOKUP(G$14,'Model homes'!$C$351:$C$375,'Model homes'!$H$351:$H$375)*AM55</f>
        <v>1.1034040629007578E-3</v>
      </c>
      <c r="AN66" s="42">
        <f>LOOKUP(H$14,'Model homes'!$C$351:$C$375,'Model homes'!$H$351:$H$375)*AN55</f>
        <v>1.0561153173478681E-3</v>
      </c>
    </row>
    <row r="67" spans="3:40" x14ac:dyDescent="0.3">
      <c r="C67" s="15" t="s">
        <v>16</v>
      </c>
      <c r="D67" s="84" t="s">
        <v>536</v>
      </c>
      <c r="E67" s="42">
        <f>LOOKUP(E$14,'Model homes'!$C$203:$C$227,'Model homes'!$F$203:$F$227)*E56</f>
        <v>0</v>
      </c>
      <c r="F67" s="42">
        <f>LOOKUP(F$14,'Model homes'!$C$203:$C$227,'Model homes'!$F$203:$F$227)*F56</f>
        <v>0</v>
      </c>
      <c r="G67" s="42">
        <f>LOOKUP(G$14,'Model homes'!$C$203:$C$227,'Model homes'!$F$203:$F$227)*G56</f>
        <v>0</v>
      </c>
      <c r="H67" s="42">
        <f>LOOKUP(H$14,'Model homes'!$C$203:$C$227,'Model homes'!$F$203:$F$227)*H56</f>
        <v>0</v>
      </c>
      <c r="J67" s="210" t="s">
        <v>16</v>
      </c>
      <c r="L67" s="207" t="s">
        <v>536</v>
      </c>
      <c r="M67" s="42">
        <f>LOOKUP(E$14,'Model homes'!$C$351:$C$375,'Model homes'!$E$351:$E$375)*M56</f>
        <v>1.7463653590573835E-2</v>
      </c>
      <c r="N67" s="42">
        <f>LOOKUP(F$14,'Model homes'!$C$351:$C$375,'Model homes'!$E$351:$E$375)*N56</f>
        <v>1.6632051038641751E-2</v>
      </c>
      <c r="O67" s="42">
        <f>LOOKUP(G$14,'Model homes'!$C$351:$C$375,'Model homes'!$E$351:$E$375)*O56</f>
        <v>1.9083357020508316E-2</v>
      </c>
      <c r="P67" s="42">
        <f>LOOKUP(H$14,'Model homes'!$C$351:$C$375,'Model homes'!$E$351:$E$375)*P56</f>
        <v>1.8628991377162882E-2</v>
      </c>
      <c r="R67" s="210" t="s">
        <v>16</v>
      </c>
      <c r="T67" s="207" t="s">
        <v>536</v>
      </c>
      <c r="U67" s="42">
        <f>LOOKUP(E$14,'Model homes'!$C$351:$C$375,'Model homes'!$F$351:$F$375)*U56</f>
        <v>0.23658464607491242</v>
      </c>
      <c r="V67" s="42">
        <f>LOOKUP(F$14,'Model homes'!$C$351:$C$375,'Model homes'!$F$351:$F$375)*V56</f>
        <v>0.22531871054753566</v>
      </c>
      <c r="W67" s="42">
        <f>LOOKUP(G$14,'Model homes'!$C$351:$C$375,'Model homes'!$F$351:$F$375)*W56</f>
        <v>0.25852718866658442</v>
      </c>
      <c r="X67" s="42">
        <f>LOOKUP(H$14,'Model homes'!$C$351:$C$375,'Model homes'!$F$351:$F$375)*X56</f>
        <v>0.25237177941261807</v>
      </c>
      <c r="Z67" s="210" t="s">
        <v>16</v>
      </c>
      <c r="AB67" s="207" t="s">
        <v>536</v>
      </c>
      <c r="AC67" s="42">
        <f>LOOKUP(E$14,'Model homes'!$C$351:$C$375,'Model homes'!$G$351:$G$375)*AC56</f>
        <v>0.10636352379046399</v>
      </c>
      <c r="AD67" s="42">
        <f>LOOKUP(F$14,'Model homes'!$C$351:$C$375,'Model homes'!$G$351:$G$375)*AD56</f>
        <v>0.10129859408615619</v>
      </c>
      <c r="AE67" s="42">
        <f>LOOKUP(G$14,'Model homes'!$C$351:$C$375,'Model homes'!$G$351:$G$375)*AE56</f>
        <v>0.11622843341031129</v>
      </c>
      <c r="AF67" s="42">
        <f>LOOKUP(H$14,'Model homes'!$C$351:$C$375,'Model homes'!$G$351:$G$375)*AF56</f>
        <v>0.1134610897576848</v>
      </c>
      <c r="AH67" s="210" t="s">
        <v>16</v>
      </c>
      <c r="AJ67" s="207" t="s">
        <v>536</v>
      </c>
      <c r="AK67" s="42">
        <f>LOOKUP(E$14,'Model homes'!$C$351:$C$375,'Model homes'!$H$351:$H$375)*AK56</f>
        <v>8.2504162823651369E-4</v>
      </c>
      <c r="AL67" s="42">
        <f>LOOKUP(F$14,'Model homes'!$C$351:$C$375,'Model homes'!$H$351:$H$375)*AL56</f>
        <v>7.8575393165382259E-4</v>
      </c>
      <c r="AM67" s="42">
        <f>LOOKUP(G$14,'Model homes'!$C$351:$C$375,'Model homes'!$H$351:$H$375)*AM56</f>
        <v>9.0156185627257026E-4</v>
      </c>
      <c r="AN67" s="42">
        <f>LOOKUP(H$14,'Model homes'!$C$351:$C$375,'Model homes'!$H$351:$H$375)*AN56</f>
        <v>8.8009609778989014E-4</v>
      </c>
    </row>
    <row r="68" spans="3:40" x14ac:dyDescent="0.3">
      <c r="C68" s="15" t="s">
        <v>17</v>
      </c>
      <c r="D68" s="84" t="s">
        <v>536</v>
      </c>
      <c r="E68" s="42">
        <f>LOOKUP(E$14,'Model homes'!$C$203:$C$227,'Model homes'!$F$203:$F$227)*E57</f>
        <v>3.9925337525500333</v>
      </c>
      <c r="F68" s="42">
        <f>LOOKUP(F$14,'Model homes'!$C$203:$C$227,'Model homes'!$F$203:$F$227)*F57</f>
        <v>3.7073527702250311</v>
      </c>
      <c r="G68" s="42">
        <f>LOOKUP(G$14,'Model homes'!$C$203:$C$227,'Model homes'!$F$203:$F$227)*G57</f>
        <v>4.4719004695502838</v>
      </c>
      <c r="H68" s="42">
        <f>LOOKUP(H$14,'Model homes'!$C$203:$C$227,'Model homes'!$F$203:$F$227)*H57</f>
        <v>4.1524790074395499</v>
      </c>
      <c r="J68" s="210" t="s">
        <v>17</v>
      </c>
      <c r="L68" s="207" t="s">
        <v>536</v>
      </c>
      <c r="M68" s="42">
        <f>LOOKUP(E$14,'Model homes'!$C$351:$C$375,'Model homes'!$E$351:$E$375)*M57</f>
        <v>0.20419041121286333</v>
      </c>
      <c r="N68" s="42">
        <f>LOOKUP(F$14,'Model homes'!$C$351:$C$375,'Model homes'!$E$351:$E$375)*N57</f>
        <v>0.18960538184051595</v>
      </c>
      <c r="O68" s="42">
        <f>LOOKUP(G$14,'Model homes'!$C$351:$C$375,'Model homes'!$E$351:$E$375)*O57</f>
        <v>0.22870669413809197</v>
      </c>
      <c r="P68" s="42">
        <f>LOOKUP(H$14,'Model homes'!$C$351:$C$375,'Model homes'!$E$351:$E$375)*P57</f>
        <v>0.21237050169965685</v>
      </c>
      <c r="R68" s="210" t="s">
        <v>17</v>
      </c>
      <c r="T68" s="207" t="s">
        <v>536</v>
      </c>
      <c r="U68" s="42">
        <f>LOOKUP(E$14,'Model homes'!$C$351:$C$375,'Model homes'!$F$351:$F$375)*U57</f>
        <v>0.26300228645548579</v>
      </c>
      <c r="V68" s="42">
        <f>LOOKUP(F$14,'Model homes'!$C$351:$C$375,'Model homes'!$F$351:$F$375)*V57</f>
        <v>0.24421640885152257</v>
      </c>
      <c r="W68" s="42">
        <f>LOOKUP(G$14,'Model homes'!$C$351:$C$375,'Model homes'!$F$351:$F$375)*W57</f>
        <v>0.29457986361214777</v>
      </c>
      <c r="X68" s="42">
        <f>LOOKUP(H$14,'Model homes'!$C$351:$C$375,'Model homes'!$F$351:$F$375)*X57</f>
        <v>0.27353844478270867</v>
      </c>
      <c r="Z68" s="210" t="s">
        <v>17</v>
      </c>
      <c r="AB68" s="207" t="s">
        <v>536</v>
      </c>
      <c r="AC68" s="42">
        <f>LOOKUP(E$14,'Model homes'!$C$351:$C$375,'Model homes'!$G$351:$G$375)*AC57</f>
        <v>1.8701278908213447E-2</v>
      </c>
      <c r="AD68" s="42">
        <f>LOOKUP(F$14,'Model homes'!$C$351:$C$375,'Model homes'!$G$351:$G$375)*AD57</f>
        <v>1.7365473271912492E-2</v>
      </c>
      <c r="AE68" s="42">
        <f>LOOKUP(G$14,'Model homes'!$C$351:$C$375,'Model homes'!$G$351:$G$375)*AE57</f>
        <v>2.0946662724495659E-2</v>
      </c>
      <c r="AF68" s="42">
        <f>LOOKUP(H$14,'Model homes'!$C$351:$C$375,'Model homes'!$G$351:$G$375)*AF57</f>
        <v>1.9450472529888824E-2</v>
      </c>
      <c r="AH68" s="210" t="s">
        <v>17</v>
      </c>
      <c r="AJ68" s="207" t="s">
        <v>536</v>
      </c>
      <c r="AK68" s="42">
        <f>LOOKUP(E$14,'Model homes'!$C$351:$C$375,'Model homes'!$H$351:$H$375)*AK57</f>
        <v>1.0154358501372476E-3</v>
      </c>
      <c r="AL68" s="42">
        <f>LOOKUP(F$14,'Model homes'!$C$351:$C$375,'Model homes'!$H$351:$H$375)*AL57</f>
        <v>9.4290471798458731E-4</v>
      </c>
      <c r="AM68" s="42">
        <f>LOOKUP(G$14,'Model homes'!$C$351:$C$375,'Model homes'!$H$351:$H$375)*AM57</f>
        <v>1.137354957143858E-3</v>
      </c>
      <c r="AN68" s="42">
        <f>LOOKUP(H$14,'Model homes'!$C$351:$C$375,'Model homes'!$H$351:$H$375)*AN57</f>
        <v>1.0561153173478681E-3</v>
      </c>
    </row>
    <row r="69" spans="3:40" x14ac:dyDescent="0.3">
      <c r="C69" s="15" t="s">
        <v>18</v>
      </c>
      <c r="D69" s="84" t="s">
        <v>536</v>
      </c>
      <c r="E69" s="42">
        <f>LOOKUP(E$14,'Model homes'!$C$203:$C$227,'Model homes'!$F$203:$F$227)*E58</f>
        <v>1.9962668762750162</v>
      </c>
      <c r="F69" s="42">
        <f>LOOKUP(F$14,'Model homes'!$C$203:$C$227,'Model homes'!$F$203:$F$227)*F58</f>
        <v>1.878839412964721</v>
      </c>
      <c r="G69" s="42">
        <f>LOOKUP(G$14,'Model homes'!$C$203:$C$227,'Model homes'!$F$203:$F$227)*G58</f>
        <v>2.2359502347751419</v>
      </c>
      <c r="H69" s="42">
        <f>LOOKUP(H$14,'Model homes'!$C$203:$C$227,'Model homes'!$F$203:$F$227)*H58</f>
        <v>2.1044237503766041</v>
      </c>
      <c r="J69" s="210" t="s">
        <v>18</v>
      </c>
      <c r="L69" s="207" t="s">
        <v>536</v>
      </c>
      <c r="M69" s="42">
        <f>LOOKUP(E$14,'Model homes'!$C$351:$C$375,'Model homes'!$E$351:$E$375)*M58</f>
        <v>0.15717288231516449</v>
      </c>
      <c r="N69" s="42">
        <f>LOOKUP(F$14,'Model homes'!$C$351:$C$375,'Model homes'!$E$351:$E$375)*N58</f>
        <v>0.1479274186495666</v>
      </c>
      <c r="O69" s="42">
        <f>LOOKUP(G$14,'Model homes'!$C$351:$C$375,'Model homes'!$E$351:$E$375)*O58</f>
        <v>0.17604396851418921</v>
      </c>
      <c r="P69" s="42">
        <f>LOOKUP(H$14,'Model homes'!$C$351:$C$375,'Model homes'!$E$351:$E$375)*P58</f>
        <v>0.165688440954531</v>
      </c>
      <c r="R69" s="210" t="s">
        <v>18</v>
      </c>
      <c r="T69" s="207" t="s">
        <v>536</v>
      </c>
      <c r="U69" s="42">
        <f>LOOKUP(E$14,'Model homes'!$C$351:$C$375,'Model homes'!$F$351:$F$375)*U58</f>
        <v>0.53422339436270549</v>
      </c>
      <c r="V69" s="42">
        <f>LOOKUP(F$14,'Model homes'!$C$351:$C$375,'Model homes'!$F$351:$F$375)*V58</f>
        <v>0.50279848881195821</v>
      </c>
      <c r="W69" s="42">
        <f>LOOKUP(G$14,'Model homes'!$C$351:$C$375,'Model homes'!$F$351:$F$375)*W58</f>
        <v>0.59836534796217511</v>
      </c>
      <c r="X69" s="42">
        <f>LOOKUP(H$14,'Model homes'!$C$351:$C$375,'Model homes'!$F$351:$F$375)*X58</f>
        <v>0.56316738631734131</v>
      </c>
      <c r="Z69" s="210" t="s">
        <v>18</v>
      </c>
      <c r="AB69" s="207" t="s">
        <v>536</v>
      </c>
      <c r="AC69" s="42">
        <f>LOOKUP(E$14,'Model homes'!$C$351:$C$375,'Model homes'!$G$351:$G$375)*AC58</f>
        <v>1.5194789112923428E-2</v>
      </c>
      <c r="AD69" s="42">
        <f>LOOKUP(F$14,'Model homes'!$C$351:$C$375,'Model homes'!$G$351:$G$375)*AD58</f>
        <v>1.4300977988633813E-2</v>
      </c>
      <c r="AE69" s="42">
        <f>LOOKUP(G$14,'Model homes'!$C$351:$C$375,'Model homes'!$G$351:$G$375)*AE58</f>
        <v>1.7019163463652721E-2</v>
      </c>
      <c r="AF69" s="42">
        <f>LOOKUP(H$14,'Model homes'!$C$351:$C$375,'Model homes'!$G$351:$G$375)*AF58</f>
        <v>1.6018036201084912E-2</v>
      </c>
      <c r="AH69" s="210" t="s">
        <v>18</v>
      </c>
      <c r="AJ69" s="207" t="s">
        <v>536</v>
      </c>
      <c r="AK69" s="42">
        <f>LOOKUP(E$14,'Model homes'!$C$351:$C$375,'Model homes'!$H$351:$H$375)*AK58</f>
        <v>8.2504162823651369E-4</v>
      </c>
      <c r="AL69" s="42">
        <f>LOOKUP(F$14,'Model homes'!$C$351:$C$375,'Model homes'!$H$351:$H$375)*AL58</f>
        <v>7.7650976775201278E-4</v>
      </c>
      <c r="AM69" s="42">
        <f>LOOKUP(G$14,'Model homes'!$C$351:$C$375,'Model homes'!$H$351:$H$375)*AM58</f>
        <v>9.2410090267938444E-4</v>
      </c>
      <c r="AN69" s="42">
        <f>LOOKUP(H$14,'Model homes'!$C$351:$C$375,'Model homes'!$H$351:$H$375)*AN58</f>
        <v>8.6974202605118547E-4</v>
      </c>
    </row>
    <row r="70" spans="3:40" x14ac:dyDescent="0.3">
      <c r="C70" s="15" t="s">
        <v>19</v>
      </c>
      <c r="D70" s="84" t="s">
        <v>536</v>
      </c>
      <c r="E70" s="42">
        <f>LOOKUP(E$14,'Model homes'!$C$203:$C$227,'Model homes'!$F$203:$F$227)*E59</f>
        <v>2.4329502554601761</v>
      </c>
      <c r="F70" s="42">
        <f>LOOKUP(F$14,'Model homes'!$C$203:$C$227,'Model homes'!$F$203:$F$227)*F59</f>
        <v>2.2632095399629546</v>
      </c>
      <c r="G70" s="42">
        <f>LOOKUP(G$14,'Model homes'!$C$203:$C$227,'Model homes'!$F$203:$F$227)*G59</f>
        <v>2.7250643486322041</v>
      </c>
      <c r="H70" s="42">
        <f>LOOKUP(H$14,'Model homes'!$C$203:$C$227,'Model homes'!$F$203:$F$227)*H59</f>
        <v>2.5349435801229809</v>
      </c>
      <c r="J70" s="210" t="s">
        <v>19</v>
      </c>
      <c r="L70" s="207" t="s">
        <v>536</v>
      </c>
      <c r="M70" s="42">
        <f>LOOKUP(E$14,'Model homes'!$C$351:$C$375,'Model homes'!$E$351:$E$375)*M59</f>
        <v>0.15717288231516449</v>
      </c>
      <c r="N70" s="42">
        <f>LOOKUP(F$14,'Model homes'!$C$351:$C$375,'Model homes'!$E$351:$E$375)*N59</f>
        <v>0.14620733238619957</v>
      </c>
      <c r="O70" s="42">
        <f>LOOKUP(G$14,'Model homes'!$C$351:$C$375,'Model homes'!$E$351:$E$375)*O59</f>
        <v>0.17604396851418921</v>
      </c>
      <c r="P70" s="42">
        <f>LOOKUP(H$14,'Model homes'!$C$351:$C$375,'Model homes'!$E$351:$E$375)*P59</f>
        <v>0.16376183117598997</v>
      </c>
      <c r="R70" s="210" t="s">
        <v>19</v>
      </c>
      <c r="T70" s="207" t="s">
        <v>536</v>
      </c>
      <c r="U70" s="42">
        <f>LOOKUP(E$14,'Model homes'!$C$351:$C$375,'Model homes'!$F$351:$F$375)*U59</f>
        <v>0.53422339436270549</v>
      </c>
      <c r="V70" s="42">
        <f>LOOKUP(F$14,'Model homes'!$C$351:$C$375,'Model homes'!$F$351:$F$375)*V59</f>
        <v>0.4969519947560051</v>
      </c>
      <c r="W70" s="42">
        <f>LOOKUP(G$14,'Model homes'!$C$351:$C$375,'Model homes'!$F$351:$F$375)*W59</f>
        <v>0.59836534796217511</v>
      </c>
      <c r="X70" s="42">
        <f>LOOKUP(H$14,'Model homes'!$C$351:$C$375,'Model homes'!$F$351:$F$375)*X59</f>
        <v>0.55661892833690718</v>
      </c>
      <c r="Z70" s="210" t="s">
        <v>19</v>
      </c>
      <c r="AB70" s="207" t="s">
        <v>536</v>
      </c>
      <c r="AC70" s="42">
        <f>LOOKUP(E$14,'Model homes'!$C$351:$C$375,'Model homes'!$G$351:$G$375)*AC59</f>
        <v>1.5194789112923428E-2</v>
      </c>
      <c r="AD70" s="42">
        <f>LOOKUP(F$14,'Model homes'!$C$351:$C$375,'Model homes'!$G$351:$G$375)*AD59</f>
        <v>1.4134687546905514E-2</v>
      </c>
      <c r="AE70" s="42">
        <f>LOOKUP(G$14,'Model homes'!$C$351:$C$375,'Model homes'!$G$351:$G$375)*AE59</f>
        <v>1.7019163463652721E-2</v>
      </c>
      <c r="AF70" s="42">
        <f>LOOKUP(H$14,'Model homes'!$C$351:$C$375,'Model homes'!$G$351:$G$375)*AF59</f>
        <v>1.5831779966188578E-2</v>
      </c>
      <c r="AH70" s="210" t="s">
        <v>19</v>
      </c>
      <c r="AJ70" s="207" t="s">
        <v>536</v>
      </c>
      <c r="AK70" s="42">
        <f>LOOKUP(E$14,'Model homes'!$C$351:$C$375,'Model homes'!$H$351:$H$375)*AK59</f>
        <v>8.2504162823651369E-4</v>
      </c>
      <c r="AL70" s="42">
        <f>LOOKUP(F$14,'Model homes'!$C$351:$C$375,'Model homes'!$H$351:$H$375)*AL59</f>
        <v>7.6748058440605921E-4</v>
      </c>
      <c r="AM70" s="42">
        <f>LOOKUP(G$14,'Model homes'!$C$351:$C$375,'Model homes'!$H$351:$H$375)*AM59</f>
        <v>9.2410090267938444E-4</v>
      </c>
      <c r="AN70" s="42">
        <f>LOOKUP(H$14,'Model homes'!$C$351:$C$375,'Model homes'!$H$351:$H$375)*AN59</f>
        <v>8.5962874667849733E-4</v>
      </c>
    </row>
    <row r="71" spans="3:40" x14ac:dyDescent="0.3">
      <c r="C71" s="14" t="s">
        <v>20</v>
      </c>
      <c r="D71" s="84" t="s">
        <v>536</v>
      </c>
      <c r="E71" s="42">
        <f>LOOKUP(E$14,'Model homes'!$C$203:$C$227,'Model homes'!$F$203:$F$227)*E60</f>
        <v>1.6322417400131015</v>
      </c>
      <c r="F71" s="42">
        <f>LOOKUP(F$14,'Model homes'!$C$203:$C$227,'Model homes'!$F$203:$F$227)*F60</f>
        <v>1.594718941392111</v>
      </c>
      <c r="G71" s="42">
        <f>LOOKUP(G$14,'Model homes'!$C$203:$C$227,'Model homes'!$F$203:$F$227)*G60</f>
        <v>1.7861901300789926</v>
      </c>
      <c r="H71" s="42">
        <f>LOOKUP(H$14,'Model homes'!$C$203:$C$227,'Model homes'!$F$203:$F$227)*H60</f>
        <v>1.7861901300789926</v>
      </c>
      <c r="J71" s="213" t="s">
        <v>20</v>
      </c>
      <c r="L71" s="207" t="s">
        <v>536</v>
      </c>
      <c r="M71" s="42">
        <f>LOOKUP(E$14,'Model homes'!$C$351:$C$375,'Model homes'!$E$351:$E$375)*M60</f>
        <v>0</v>
      </c>
      <c r="N71" s="42">
        <f>LOOKUP(F$14,'Model homes'!$C$351:$C$375,'Model homes'!$E$351:$E$375)*N60</f>
        <v>0</v>
      </c>
      <c r="O71" s="42">
        <f>LOOKUP(G$14,'Model homes'!$C$351:$C$375,'Model homes'!$E$351:$E$375)*O60</f>
        <v>0</v>
      </c>
      <c r="P71" s="42">
        <f>LOOKUP(H$14,'Model homes'!$C$351:$C$375,'Model homes'!$E$351:$E$375)*P60</f>
        <v>0</v>
      </c>
      <c r="R71" s="213" t="s">
        <v>20</v>
      </c>
      <c r="T71" s="207" t="s">
        <v>536</v>
      </c>
      <c r="U71" s="42">
        <f>LOOKUP(E$14,'Model homes'!$C$351:$C$375,'Model homes'!$F$351:$F$375)*U60</f>
        <v>9.3376862207935091E-2</v>
      </c>
      <c r="V71" s="42">
        <f>LOOKUP(F$14,'Model homes'!$C$351:$C$375,'Model homes'!$F$351:$F$375)*V60</f>
        <v>9.1230267674419357E-2</v>
      </c>
      <c r="W71" s="42">
        <f>LOOKUP(G$14,'Model homes'!$C$351:$C$375,'Model homes'!$F$351:$F$375)*W60</f>
        <v>0.10218390178664404</v>
      </c>
      <c r="X71" s="42">
        <f>LOOKUP(H$14,'Model homes'!$C$351:$C$375,'Model homes'!$F$351:$F$375)*X60</f>
        <v>0.10218390178664404</v>
      </c>
      <c r="Z71" s="213" t="s">
        <v>20</v>
      </c>
      <c r="AB71" s="207" t="s">
        <v>536</v>
      </c>
      <c r="AC71" s="42">
        <f>LOOKUP(E$14,'Model homes'!$C$351:$C$375,'Model homes'!$G$351:$G$375)*AC60</f>
        <v>0</v>
      </c>
      <c r="AD71" s="42">
        <f>LOOKUP(F$14,'Model homes'!$C$351:$C$375,'Model homes'!$G$351:$G$375)*AD60</f>
        <v>0</v>
      </c>
      <c r="AE71" s="42">
        <f>LOOKUP(G$14,'Model homes'!$C$351:$C$375,'Model homes'!$G$351:$G$375)*AE60</f>
        <v>0</v>
      </c>
      <c r="AF71" s="42">
        <f>LOOKUP(H$14,'Model homes'!$C$351:$C$375,'Model homes'!$G$351:$G$375)*AF60</f>
        <v>0</v>
      </c>
      <c r="AH71" s="213" t="s">
        <v>20</v>
      </c>
      <c r="AJ71" s="207" t="s">
        <v>536</v>
      </c>
      <c r="AK71" s="42">
        <f>LOOKUP(E$14,'Model homes'!$C$351:$C$375,'Model homes'!$H$351:$H$375)*AK60</f>
        <v>0</v>
      </c>
      <c r="AL71" s="42">
        <f>LOOKUP(F$14,'Model homes'!$C$351:$C$375,'Model homes'!$H$351:$H$375)*AL60</f>
        <v>0</v>
      </c>
      <c r="AM71" s="42">
        <f>LOOKUP(G$14,'Model homes'!$C$351:$C$375,'Model homes'!$H$351:$H$375)*AM60</f>
        <v>0</v>
      </c>
      <c r="AN71" s="42">
        <f>LOOKUP(H$14,'Model homes'!$C$351:$C$375,'Model homes'!$H$351:$H$375)*AN60</f>
        <v>0</v>
      </c>
    </row>
    <row r="72" spans="3:40" x14ac:dyDescent="0.3">
      <c r="C72" s="14" t="s">
        <v>21</v>
      </c>
      <c r="D72" s="84" t="s">
        <v>536</v>
      </c>
      <c r="E72" s="42" t="e">
        <f>LOOKUP(E$14,'Model homes'!$C$203:$C$227,'Model homes'!$F$203:$F$227)*E61</f>
        <v>#N/A</v>
      </c>
      <c r="F72" s="42" t="e">
        <f>LOOKUP(F$14,'Model homes'!$C$203:$C$227,'Model homes'!$F$203:$F$227)*F61</f>
        <v>#N/A</v>
      </c>
      <c r="G72" s="42" t="e">
        <f>LOOKUP(G$14,'Model homes'!$C$203:$C$227,'Model homes'!$F$203:$F$227)*G61</f>
        <v>#N/A</v>
      </c>
      <c r="H72" s="42" t="e">
        <f>LOOKUP(H$14,'Model homes'!$C$203:$C$227,'Model homes'!$F$203:$F$227)*H61</f>
        <v>#N/A</v>
      </c>
      <c r="J72" s="213" t="s">
        <v>21</v>
      </c>
      <c r="L72" s="207" t="s">
        <v>536</v>
      </c>
      <c r="M72" s="159" t="e">
        <f>LOOKUP(E$14,'Model homes'!$C$351:$C$375,'Model homes'!$E$351:$E$375)*M61</f>
        <v>#DIV/0!</v>
      </c>
      <c r="N72" s="159" t="e">
        <f>LOOKUP(F$14,'Model homes'!$C$351:$C$375,'Model homes'!$E$351:$E$375)*N61</f>
        <v>#DIV/0!</v>
      </c>
      <c r="O72" s="159" t="e">
        <f>LOOKUP(G$14,'Model homes'!$C$351:$C$375,'Model homes'!$E$351:$E$375)*O61</f>
        <v>#DIV/0!</v>
      </c>
      <c r="P72" s="159" t="e">
        <f>LOOKUP(H$14,'Model homes'!$C$351:$C$375,'Model homes'!$E$351:$E$375)*P61</f>
        <v>#DIV/0!</v>
      </c>
      <c r="R72" s="213" t="s">
        <v>21</v>
      </c>
      <c r="T72" s="207" t="s">
        <v>536</v>
      </c>
      <c r="U72" s="159" t="e">
        <f>LOOKUP(E$14,'Model homes'!$C$351:$C$375,'Model homes'!$F$351:$F$375)*U61</f>
        <v>#DIV/0!</v>
      </c>
      <c r="V72" s="159" t="e">
        <f>LOOKUP(F$14,'Model homes'!$C$351:$C$375,'Model homes'!$F$351:$F$375)*V61</f>
        <v>#DIV/0!</v>
      </c>
      <c r="W72" s="159" t="e">
        <f>LOOKUP(G$14,'Model homes'!$C$351:$C$375,'Model homes'!$F$351:$F$375)*W61</f>
        <v>#DIV/0!</v>
      </c>
      <c r="X72" s="159" t="e">
        <f>LOOKUP(H$14,'Model homes'!$C$351:$C$375,'Model homes'!$F$351:$F$375)*X61</f>
        <v>#DIV/0!</v>
      </c>
      <c r="Z72" s="213" t="s">
        <v>21</v>
      </c>
      <c r="AB72" s="207" t="s">
        <v>536</v>
      </c>
      <c r="AC72" s="159" t="e">
        <f>LOOKUP(E$14,'Model homes'!$C$351:$C$375,'Model homes'!$G$351:$G$375)*AC61</f>
        <v>#DIV/0!</v>
      </c>
      <c r="AD72" s="159" t="e">
        <f>LOOKUP(F$14,'Model homes'!$C$351:$C$375,'Model homes'!$G$351:$G$375)*AD61</f>
        <v>#DIV/0!</v>
      </c>
      <c r="AE72" s="159" t="e">
        <f>LOOKUP(G$14,'Model homes'!$C$351:$C$375,'Model homes'!$G$351:$G$375)*AE61</f>
        <v>#DIV/0!</v>
      </c>
      <c r="AF72" s="159" t="e">
        <f>LOOKUP(H$14,'Model homes'!$C$351:$C$375,'Model homes'!$G$351:$G$375)*AF61</f>
        <v>#DIV/0!</v>
      </c>
      <c r="AH72" s="213" t="s">
        <v>21</v>
      </c>
      <c r="AJ72" s="207" t="s">
        <v>536</v>
      </c>
      <c r="AK72" s="159" t="e">
        <f>LOOKUP(E$14,'Model homes'!$C$351:$C$375,'Model homes'!$H$351:$H$375)*AK61</f>
        <v>#DIV/0!</v>
      </c>
      <c r="AL72" s="159" t="e">
        <f>LOOKUP(F$14,'Model homes'!$C$351:$C$375,'Model homes'!$H$351:$H$375)*AL61</f>
        <v>#DIV/0!</v>
      </c>
      <c r="AM72" s="159" t="e">
        <f>LOOKUP(G$14,'Model homes'!$C$351:$C$375,'Model homes'!$H$351:$H$375)*AM61</f>
        <v>#DIV/0!</v>
      </c>
      <c r="AN72" s="159" t="e">
        <f>LOOKUP(H$14,'Model homes'!$C$351:$C$375,'Model homes'!$H$351:$H$375)*AN61</f>
        <v>#DIV/0!</v>
      </c>
    </row>
    <row r="73" spans="3:40" x14ac:dyDescent="0.3">
      <c r="C73" s="14" t="s">
        <v>22</v>
      </c>
      <c r="D73" s="84" t="s">
        <v>536</v>
      </c>
      <c r="E73" s="42" t="e">
        <f>LOOKUP(E$14,'Model homes'!$C$203:$C$227,'Model homes'!$F$203:$F$227)*E62</f>
        <v>#N/A</v>
      </c>
      <c r="F73" s="42" t="e">
        <f>LOOKUP(F$14,'Model homes'!$C$203:$C$227,'Model homes'!$F$203:$F$227)*F62</f>
        <v>#N/A</v>
      </c>
      <c r="G73" s="42" t="e">
        <f>LOOKUP(G$14,'Model homes'!$C$203:$C$227,'Model homes'!$F$203:$F$227)*G62</f>
        <v>#N/A</v>
      </c>
      <c r="H73" s="42" t="e">
        <f>LOOKUP(H$14,'Model homes'!$C$203:$C$227,'Model homes'!$F$203:$F$227)*H62</f>
        <v>#N/A</v>
      </c>
      <c r="J73" s="213" t="s">
        <v>22</v>
      </c>
      <c r="L73" s="207" t="s">
        <v>536</v>
      </c>
      <c r="M73" s="159" t="e">
        <f>LOOKUP(E$14,'Model homes'!$C$351:$C$375,'Model homes'!$E$351:$E$375)*M62</f>
        <v>#DIV/0!</v>
      </c>
      <c r="N73" s="159" t="e">
        <f>LOOKUP(F$14,'Model homes'!$C$351:$C$375,'Model homes'!$E$351:$E$375)*N62</f>
        <v>#DIV/0!</v>
      </c>
      <c r="O73" s="159" t="e">
        <f>LOOKUP(G$14,'Model homes'!$C$351:$C$375,'Model homes'!$E$351:$E$375)*O62</f>
        <v>#DIV/0!</v>
      </c>
      <c r="P73" s="159" t="e">
        <f>LOOKUP(H$14,'Model homes'!$C$351:$C$375,'Model homes'!$E$351:$E$375)*P62</f>
        <v>#DIV/0!</v>
      </c>
      <c r="R73" s="213" t="s">
        <v>22</v>
      </c>
      <c r="T73" s="207" t="s">
        <v>536</v>
      </c>
      <c r="U73" s="159" t="e">
        <f>LOOKUP(E$14,'Model homes'!$C$351:$C$375,'Model homes'!$F$351:$F$375)*U62</f>
        <v>#DIV/0!</v>
      </c>
      <c r="V73" s="159" t="e">
        <f>LOOKUP(F$14,'Model homes'!$C$351:$C$375,'Model homes'!$F$351:$F$375)*V62</f>
        <v>#DIV/0!</v>
      </c>
      <c r="W73" s="159" t="e">
        <f>LOOKUP(G$14,'Model homes'!$C$351:$C$375,'Model homes'!$F$351:$F$375)*W62</f>
        <v>#DIV/0!</v>
      </c>
      <c r="X73" s="159" t="e">
        <f>LOOKUP(H$14,'Model homes'!$C$351:$C$375,'Model homes'!$F$351:$F$375)*X62</f>
        <v>#DIV/0!</v>
      </c>
      <c r="Z73" s="213" t="s">
        <v>22</v>
      </c>
      <c r="AB73" s="207" t="s">
        <v>536</v>
      </c>
      <c r="AC73" s="159" t="e">
        <f>LOOKUP(E$14,'Model homes'!$C$351:$C$375,'Model homes'!$G$351:$G$375)*AC62</f>
        <v>#DIV/0!</v>
      </c>
      <c r="AD73" s="159" t="e">
        <f>LOOKUP(F$14,'Model homes'!$C$351:$C$375,'Model homes'!$G$351:$G$375)*AD62</f>
        <v>#DIV/0!</v>
      </c>
      <c r="AE73" s="159" t="e">
        <f>LOOKUP(G$14,'Model homes'!$C$351:$C$375,'Model homes'!$G$351:$G$375)*AE62</f>
        <v>#DIV/0!</v>
      </c>
      <c r="AF73" s="159" t="e">
        <f>LOOKUP(H$14,'Model homes'!$C$351:$C$375,'Model homes'!$G$351:$G$375)*AF62</f>
        <v>#DIV/0!</v>
      </c>
      <c r="AH73" s="213" t="s">
        <v>22</v>
      </c>
      <c r="AJ73" s="207" t="s">
        <v>536</v>
      </c>
      <c r="AK73" s="159" t="e">
        <f>LOOKUP(E$14,'Model homes'!$C$351:$C$375,'Model homes'!$H$351:$H$375)*AK62</f>
        <v>#DIV/0!</v>
      </c>
      <c r="AL73" s="159" t="e">
        <f>LOOKUP(F$14,'Model homes'!$C$351:$C$375,'Model homes'!$H$351:$H$375)*AL62</f>
        <v>#DIV/0!</v>
      </c>
      <c r="AM73" s="159" t="e">
        <f>LOOKUP(G$14,'Model homes'!$C$351:$C$375,'Model homes'!$H$351:$H$375)*AM62</f>
        <v>#DIV/0!</v>
      </c>
      <c r="AN73" s="159" t="e">
        <f>LOOKUP(H$14,'Model homes'!$C$351:$C$375,'Model homes'!$H$351:$H$375)*AN62</f>
        <v>#DIV/0!</v>
      </c>
    </row>
    <row r="74" spans="3:40" x14ac:dyDescent="0.3">
      <c r="C74" s="96"/>
      <c r="D74" s="96"/>
      <c r="E74" s="55"/>
      <c r="F74" s="55"/>
      <c r="G74" s="55"/>
      <c r="H74" s="55"/>
    </row>
    <row r="75" spans="3:40" x14ac:dyDescent="0.3">
      <c r="C75" s="195" t="s">
        <v>303</v>
      </c>
      <c r="D75" s="17" t="s">
        <v>301</v>
      </c>
      <c r="E75" s="231">
        <f>'Model homes'!E$170</f>
        <v>0.03</v>
      </c>
    </row>
    <row r="76" spans="3:40" x14ac:dyDescent="0.3">
      <c r="J76" s="26"/>
    </row>
    <row r="77" spans="3:40" x14ac:dyDescent="0.3">
      <c r="C77" s="51" t="s">
        <v>537</v>
      </c>
      <c r="E77" s="209"/>
      <c r="J77" s="229" t="s">
        <v>538</v>
      </c>
    </row>
    <row r="78" spans="3:40" x14ac:dyDescent="0.3">
      <c r="C78" s="209" t="s">
        <v>14</v>
      </c>
      <c r="D78" s="207" t="s">
        <v>536</v>
      </c>
      <c r="E78" s="159" t="e">
        <f t="shared" ref="E78:H86" si="3">M65+U65+AC65+AK65</f>
        <v>#DIV/0!</v>
      </c>
      <c r="F78" s="159" t="e">
        <f t="shared" si="3"/>
        <v>#DIV/0!</v>
      </c>
      <c r="G78" s="159" t="e">
        <f t="shared" si="3"/>
        <v>#DIV/0!</v>
      </c>
      <c r="H78" s="159" t="e">
        <f t="shared" si="3"/>
        <v>#DIV/0!</v>
      </c>
      <c r="J78" s="230">
        <f>(1-(((1+'Model homes'!$E159)/(1+E$75))^E$14))/(E$75-'Model homes'!$E159)</f>
        <v>2.8985052991278306</v>
      </c>
    </row>
    <row r="79" spans="3:40" x14ac:dyDescent="0.3">
      <c r="C79" s="213" t="s">
        <v>15</v>
      </c>
      <c r="D79" s="207" t="s">
        <v>536</v>
      </c>
      <c r="E79" s="42">
        <f t="shared" si="3"/>
        <v>0.44459921856515289</v>
      </c>
      <c r="F79" s="42">
        <f t="shared" si="3"/>
        <v>0.41284213152478494</v>
      </c>
      <c r="G79" s="42">
        <f t="shared" si="3"/>
        <v>0.48311528892838024</v>
      </c>
      <c r="H79" s="42">
        <f t="shared" si="3"/>
        <v>0.46241034797430686</v>
      </c>
      <c r="J79" s="230">
        <f>(1-(((1+'Model homes'!$E160)/(1+E$75))^E$14))/(E$75-'Model homes'!$E160)</f>
        <v>2.8844349961152265</v>
      </c>
    </row>
    <row r="80" spans="3:40" x14ac:dyDescent="0.3">
      <c r="C80" s="210" t="s">
        <v>16</v>
      </c>
      <c r="D80" s="207" t="s">
        <v>536</v>
      </c>
      <c r="E80" s="42">
        <f t="shared" si="3"/>
        <v>0.36123686508418673</v>
      </c>
      <c r="F80" s="42">
        <f t="shared" si="3"/>
        <v>0.34403510960398742</v>
      </c>
      <c r="G80" s="42">
        <f t="shared" si="3"/>
        <v>0.39474054095367661</v>
      </c>
      <c r="H80" s="42">
        <f t="shared" si="3"/>
        <v>0.38534195664525567</v>
      </c>
      <c r="J80" s="230">
        <f>(1-(((1+'Model homes'!$E161)/(1+E$75))^E$14))/(E$75-'Model homes'!$E161)</f>
        <v>2.8985052991278306</v>
      </c>
    </row>
    <row r="81" spans="2:19" x14ac:dyDescent="0.3">
      <c r="C81" s="210" t="s">
        <v>17</v>
      </c>
      <c r="D81" s="207" t="s">
        <v>536</v>
      </c>
      <c r="E81" s="42">
        <f t="shared" si="3"/>
        <v>0.48690941242669983</v>
      </c>
      <c r="F81" s="42">
        <f t="shared" si="3"/>
        <v>0.45213016868193562</v>
      </c>
      <c r="G81" s="42">
        <f t="shared" si="3"/>
        <v>0.54537057543187917</v>
      </c>
      <c r="H81" s="42">
        <f t="shared" si="3"/>
        <v>0.50641553432960218</v>
      </c>
      <c r="J81" s="230">
        <f>(1-(((1+'Model homes'!$E162)/(1+E$75))^E$14))/(E$75-'Model homes'!$E162)</f>
        <v>2.8985052991278306</v>
      </c>
    </row>
    <row r="82" spans="2:19" x14ac:dyDescent="0.3">
      <c r="C82" s="210" t="s">
        <v>18</v>
      </c>
      <c r="D82" s="207" t="s">
        <v>536</v>
      </c>
      <c r="E82" s="42">
        <f t="shared" si="3"/>
        <v>0.70741610741902983</v>
      </c>
      <c r="F82" s="42">
        <f t="shared" si="3"/>
        <v>0.66580339521791065</v>
      </c>
      <c r="G82" s="42">
        <f t="shared" si="3"/>
        <v>0.79235258084269644</v>
      </c>
      <c r="H82" s="42">
        <f t="shared" si="3"/>
        <v>0.74574360549900842</v>
      </c>
      <c r="J82" s="230">
        <f>(1-(((1+'Model homes'!$E163)/(1+E$75))^E$14))/(E$75-'Model homes'!$E163)</f>
        <v>2.8985052991278306</v>
      </c>
    </row>
    <row r="83" spans="2:19" x14ac:dyDescent="0.3">
      <c r="C83" s="210" t="s">
        <v>19</v>
      </c>
      <c r="D83" s="207" t="s">
        <v>536</v>
      </c>
      <c r="E83" s="42">
        <f t="shared" si="3"/>
        <v>0.70741610741902983</v>
      </c>
      <c r="F83" s="42">
        <f t="shared" si="3"/>
        <v>0.65806149527351621</v>
      </c>
      <c r="G83" s="42">
        <f t="shared" si="3"/>
        <v>0.79235258084269644</v>
      </c>
      <c r="H83" s="42">
        <f t="shared" si="3"/>
        <v>0.73707216822576416</v>
      </c>
      <c r="J83" s="230">
        <f>(1-(((1+'Model homes'!$E164)/(1+E$75))^E$14))/(E$75-'Model homes'!$E164)</f>
        <v>2.8985052991278306</v>
      </c>
    </row>
    <row r="84" spans="2:19" x14ac:dyDescent="0.3">
      <c r="C84" s="213" t="s">
        <v>20</v>
      </c>
      <c r="D84" s="207" t="s">
        <v>536</v>
      </c>
      <c r="E84" s="42">
        <f t="shared" si="3"/>
        <v>9.3376862207935091E-2</v>
      </c>
      <c r="F84" s="42">
        <f t="shared" si="3"/>
        <v>9.1230267674419357E-2</v>
      </c>
      <c r="G84" s="42">
        <f t="shared" si="3"/>
        <v>0.10218390178664404</v>
      </c>
      <c r="H84" s="42">
        <f t="shared" si="3"/>
        <v>0.10218390178664404</v>
      </c>
      <c r="J84" s="230">
        <f>(1-(((1+'Model homes'!$E165)/(1+E$75))^E$14))/(E$75-'Model homes'!$E165)</f>
        <v>2.9097944866380918</v>
      </c>
    </row>
    <row r="85" spans="2:19" x14ac:dyDescent="0.3">
      <c r="C85" s="213" t="s">
        <v>21</v>
      </c>
      <c r="D85" s="207" t="s">
        <v>536</v>
      </c>
      <c r="E85" s="159" t="e">
        <f t="shared" si="3"/>
        <v>#DIV/0!</v>
      </c>
      <c r="F85" s="159" t="e">
        <f t="shared" si="3"/>
        <v>#DIV/0!</v>
      </c>
      <c r="G85" s="159" t="e">
        <f t="shared" si="3"/>
        <v>#DIV/0!</v>
      </c>
      <c r="H85" s="159" t="e">
        <f t="shared" si="3"/>
        <v>#DIV/0!</v>
      </c>
      <c r="J85" s="230">
        <f>(1-(((1+'Model homes'!$E166)/(1+E$75))^E$14))/(E$75-'Model homes'!$E166)</f>
        <v>2.8985052991278306</v>
      </c>
    </row>
    <row r="86" spans="2:19" x14ac:dyDescent="0.3">
      <c r="C86" s="213" t="s">
        <v>22</v>
      </c>
      <c r="D86" s="207" t="s">
        <v>536</v>
      </c>
      <c r="E86" s="159" t="e">
        <f t="shared" si="3"/>
        <v>#DIV/0!</v>
      </c>
      <c r="F86" s="159" t="e">
        <f t="shared" si="3"/>
        <v>#DIV/0!</v>
      </c>
      <c r="G86" s="159" t="e">
        <f t="shared" si="3"/>
        <v>#DIV/0!</v>
      </c>
      <c r="H86" s="159" t="e">
        <f t="shared" si="3"/>
        <v>#DIV/0!</v>
      </c>
      <c r="J86" s="230">
        <f>(1-(((1+'Model homes'!$E167)/(1+E$75))^E$14))/(E$75-'Model homes'!$E167)</f>
        <v>2.8985052991278306</v>
      </c>
    </row>
    <row r="87" spans="2:19" x14ac:dyDescent="0.3">
      <c r="C87" s="36"/>
      <c r="D87" s="96"/>
      <c r="E87" s="55"/>
      <c r="F87" s="55"/>
      <c r="G87" s="55"/>
      <c r="H87" s="55"/>
      <c r="R87" s="42"/>
      <c r="S87" s="99"/>
    </row>
    <row r="88" spans="2:19" ht="20.25" x14ac:dyDescent="0.35">
      <c r="C88" s="81" t="s">
        <v>725</v>
      </c>
    </row>
    <row r="89" spans="2:19" s="18" customFormat="1" ht="17.25" thickBot="1" x14ac:dyDescent="0.35">
      <c r="B89" s="233" t="s">
        <v>153</v>
      </c>
      <c r="C89" s="19" t="s">
        <v>154</v>
      </c>
      <c r="D89" s="19" t="s">
        <v>32</v>
      </c>
      <c r="E89" s="19" t="s">
        <v>155</v>
      </c>
      <c r="F89" s="19"/>
      <c r="G89" s="19" t="s">
        <v>155</v>
      </c>
      <c r="H89" s="19"/>
      <c r="I89" s="19"/>
      <c r="J89" s="56" t="s">
        <v>156</v>
      </c>
      <c r="K89" s="56"/>
    </row>
    <row r="90" spans="2:19" s="30" customFormat="1" ht="18" thickTop="1" thickBot="1" x14ac:dyDescent="0.35">
      <c r="B90" s="234"/>
      <c r="C90" s="29" t="s">
        <v>157</v>
      </c>
      <c r="D90" s="29"/>
      <c r="E90" s="335" t="s">
        <v>5</v>
      </c>
      <c r="F90" s="335"/>
      <c r="G90" s="335" t="s">
        <v>6</v>
      </c>
      <c r="H90" s="335"/>
      <c r="I90" s="28"/>
      <c r="J90" s="28"/>
      <c r="K90" s="57"/>
      <c r="M90" s="20"/>
    </row>
    <row r="91" spans="2:19" ht="18" thickTop="1" thickBot="1" x14ac:dyDescent="0.35">
      <c r="B91" s="233"/>
      <c r="C91" s="29" t="s">
        <v>158</v>
      </c>
      <c r="D91" s="29"/>
      <c r="E91" s="29" t="s">
        <v>7</v>
      </c>
      <c r="F91" s="29" t="s">
        <v>8</v>
      </c>
      <c r="G91" s="29" t="s">
        <v>7</v>
      </c>
      <c r="H91" s="29" t="s">
        <v>8</v>
      </c>
      <c r="I91" s="19"/>
      <c r="J91" s="19"/>
      <c r="K91" s="56"/>
      <c r="M91" s="82"/>
      <c r="N91" s="82"/>
    </row>
    <row r="92" spans="2:19" ht="17.25" thickTop="1" x14ac:dyDescent="0.3">
      <c r="C92" s="20" t="s">
        <v>14</v>
      </c>
      <c r="D92" s="20" t="s">
        <v>540</v>
      </c>
      <c r="E92" s="38">
        <f>'Campaign Input'!$G$12*'Data Input'!B$9*'Data Input'!B16</f>
        <v>0</v>
      </c>
      <c r="F92" s="38">
        <f>'Campaign Input'!$G$12*'Data Input'!C$9*'Data Input'!C16</f>
        <v>0</v>
      </c>
      <c r="G92" s="38">
        <f>'Campaign Input'!$G$12*'Data Input'!D$9*'Data Input'!D16</f>
        <v>0</v>
      </c>
      <c r="H92" s="38">
        <f>'Campaign Input'!$G$12*'Data Input'!E$9*'Data Input'!E16</f>
        <v>0</v>
      </c>
    </row>
    <row r="93" spans="2:19" x14ac:dyDescent="0.3">
      <c r="C93" s="14" t="s">
        <v>15</v>
      </c>
      <c r="D93" s="20" t="s">
        <v>540</v>
      </c>
      <c r="E93" s="38">
        <f>'Campaign Input'!$G$12*'Data Input'!B$9*'Data Input'!B17</f>
        <v>0</v>
      </c>
      <c r="F93" s="38">
        <f>'Campaign Input'!$G$12*'Data Input'!C$9*'Data Input'!C17</f>
        <v>0</v>
      </c>
      <c r="G93" s="38">
        <f>'Campaign Input'!$G$12*'Data Input'!D$9*'Data Input'!D17</f>
        <v>0</v>
      </c>
      <c r="H93" s="38">
        <f>'Campaign Input'!$G$12*'Data Input'!E$9*'Data Input'!E17</f>
        <v>0</v>
      </c>
    </row>
    <row r="94" spans="2:19" x14ac:dyDescent="0.3">
      <c r="C94" s="15" t="s">
        <v>16</v>
      </c>
      <c r="D94" s="20" t="s">
        <v>540</v>
      </c>
      <c r="E94" s="38">
        <f>'Campaign Input'!$G$12*'Data Input'!B$9*'Data Input'!B18</f>
        <v>0</v>
      </c>
      <c r="F94" s="38">
        <f>'Campaign Input'!$G$12*'Data Input'!C$9*'Data Input'!C18</f>
        <v>0</v>
      </c>
      <c r="G94" s="38">
        <f>'Campaign Input'!$G$12*'Data Input'!D$9*'Data Input'!D18</f>
        <v>0</v>
      </c>
      <c r="H94" s="38">
        <f>'Campaign Input'!$G$12*'Data Input'!E$9*'Data Input'!E18</f>
        <v>0</v>
      </c>
    </row>
    <row r="95" spans="2:19" x14ac:dyDescent="0.3">
      <c r="C95" s="15" t="s">
        <v>17</v>
      </c>
      <c r="D95" s="20" t="s">
        <v>540</v>
      </c>
      <c r="E95" s="38">
        <f>'Campaign Input'!$G$12*'Data Input'!B$9*'Data Input'!B19</f>
        <v>0</v>
      </c>
      <c r="F95" s="38">
        <f>'Campaign Input'!$G$12*'Data Input'!C$9*'Data Input'!C19</f>
        <v>0</v>
      </c>
      <c r="G95" s="38">
        <f>'Campaign Input'!$G$12*'Data Input'!D$9*'Data Input'!D19</f>
        <v>0</v>
      </c>
      <c r="H95" s="38">
        <f>'Campaign Input'!$G$12*'Data Input'!E$9*'Data Input'!E19</f>
        <v>0</v>
      </c>
    </row>
    <row r="96" spans="2:19" x14ac:dyDescent="0.3">
      <c r="C96" s="15" t="s">
        <v>18</v>
      </c>
      <c r="D96" s="20" t="s">
        <v>540</v>
      </c>
      <c r="E96" s="38">
        <f>'Campaign Input'!$G$12*'Data Input'!B$9*'Data Input'!B20</f>
        <v>0</v>
      </c>
      <c r="F96" s="38">
        <f>'Campaign Input'!$G$12*'Data Input'!C$9*'Data Input'!C20</f>
        <v>0</v>
      </c>
      <c r="G96" s="38">
        <f>'Campaign Input'!$G$12*'Data Input'!D$9*'Data Input'!D20</f>
        <v>0</v>
      </c>
      <c r="H96" s="38">
        <f>'Campaign Input'!$G$12*'Data Input'!E$9*'Data Input'!E20</f>
        <v>0</v>
      </c>
    </row>
    <row r="97" spans="3:10" x14ac:dyDescent="0.3">
      <c r="C97" s="15" t="s">
        <v>19</v>
      </c>
      <c r="D97" s="20" t="s">
        <v>540</v>
      </c>
      <c r="E97" s="38">
        <f>'Campaign Input'!$G$12*'Data Input'!B$9*'Data Input'!B21</f>
        <v>0</v>
      </c>
      <c r="F97" s="38">
        <f>'Campaign Input'!$G$12*'Data Input'!C$9*'Data Input'!C21</f>
        <v>0</v>
      </c>
      <c r="G97" s="38">
        <f>'Campaign Input'!$G$12*'Data Input'!D$9*'Data Input'!D21</f>
        <v>0</v>
      </c>
      <c r="H97" s="38">
        <f>'Campaign Input'!$G$12*'Data Input'!E$9*'Data Input'!E21</f>
        <v>0</v>
      </c>
    </row>
    <row r="98" spans="3:10" x14ac:dyDescent="0.3">
      <c r="C98" s="14" t="s">
        <v>20</v>
      </c>
      <c r="D98" s="20" t="s">
        <v>540</v>
      </c>
      <c r="E98" s="38">
        <f>'Campaign Input'!$G$12*'Data Input'!B$9*'Data Input'!B22</f>
        <v>0</v>
      </c>
      <c r="F98" s="38">
        <f>'Campaign Input'!$G$12*'Data Input'!C$9*'Data Input'!C22</f>
        <v>0</v>
      </c>
      <c r="G98" s="38">
        <f>'Campaign Input'!$G$12*'Data Input'!D$9*'Data Input'!D22</f>
        <v>0</v>
      </c>
      <c r="H98" s="38">
        <f>'Campaign Input'!$G$12*'Data Input'!E$9*'Data Input'!E22</f>
        <v>0</v>
      </c>
    </row>
    <row r="99" spans="3:10" x14ac:dyDescent="0.3">
      <c r="C99" s="14" t="s">
        <v>21</v>
      </c>
      <c r="D99" s="20" t="s">
        <v>540</v>
      </c>
      <c r="E99" s="38">
        <f>'Campaign Input'!$G$12*'Data Input'!B$9*'Data Input'!B23</f>
        <v>0</v>
      </c>
      <c r="F99" s="38">
        <f>'Campaign Input'!$G$12*'Data Input'!C$9*'Data Input'!C23</f>
        <v>0</v>
      </c>
      <c r="G99" s="38">
        <f>'Campaign Input'!$G$12*'Data Input'!D$9*'Data Input'!D23</f>
        <v>0</v>
      </c>
      <c r="H99" s="38">
        <f>'Campaign Input'!$G$12*'Data Input'!E$9*'Data Input'!E23</f>
        <v>0</v>
      </c>
    </row>
    <row r="100" spans="3:10" x14ac:dyDescent="0.3">
      <c r="C100" s="14" t="s">
        <v>22</v>
      </c>
      <c r="D100" s="20" t="s">
        <v>540</v>
      </c>
      <c r="E100" s="38">
        <f>'Campaign Input'!$G$12*'Data Input'!B$9*'Data Input'!B24</f>
        <v>0</v>
      </c>
      <c r="F100" s="38">
        <f>'Campaign Input'!$G$12*'Data Input'!C$9*'Data Input'!C24</f>
        <v>0</v>
      </c>
      <c r="G100" s="38">
        <f>'Campaign Input'!$G$12*'Data Input'!D$9*'Data Input'!D24</f>
        <v>0</v>
      </c>
      <c r="H100" s="38">
        <f>'Campaign Input'!$G$12*'Data Input'!E$9*'Data Input'!E24</f>
        <v>0</v>
      </c>
    </row>
    <row r="102" spans="3:10" x14ac:dyDescent="0.3">
      <c r="C102" s="51" t="s">
        <v>541</v>
      </c>
      <c r="D102" s="84"/>
      <c r="E102" s="91"/>
    </row>
    <row r="103" spans="3:10" x14ac:dyDescent="0.3">
      <c r="C103" s="20" t="s">
        <v>14</v>
      </c>
      <c r="D103" s="15" t="s">
        <v>542</v>
      </c>
      <c r="E103" s="42">
        <f t="shared" ref="E103:H111" si="4">E92*E21*E$14</f>
        <v>0</v>
      </c>
      <c r="F103" s="42">
        <f t="shared" si="4"/>
        <v>0</v>
      </c>
      <c r="G103" s="42">
        <f t="shared" si="4"/>
        <v>0</v>
      </c>
      <c r="H103" s="42">
        <f t="shared" si="4"/>
        <v>0</v>
      </c>
    </row>
    <row r="104" spans="3:10" x14ac:dyDescent="0.3">
      <c r="C104" s="14" t="s">
        <v>15</v>
      </c>
      <c r="D104" s="15" t="s">
        <v>542</v>
      </c>
      <c r="E104" s="42">
        <f t="shared" si="4"/>
        <v>0</v>
      </c>
      <c r="F104" s="42">
        <f t="shared" si="4"/>
        <v>0</v>
      </c>
      <c r="G104" s="42">
        <f t="shared" si="4"/>
        <v>0</v>
      </c>
      <c r="H104" s="42">
        <f t="shared" si="4"/>
        <v>0</v>
      </c>
    </row>
    <row r="105" spans="3:10" x14ac:dyDescent="0.3">
      <c r="C105" s="15" t="s">
        <v>16</v>
      </c>
      <c r="D105" s="15" t="s">
        <v>542</v>
      </c>
      <c r="E105" s="42">
        <f t="shared" si="4"/>
        <v>0</v>
      </c>
      <c r="F105" s="42">
        <f t="shared" si="4"/>
        <v>0</v>
      </c>
      <c r="G105" s="42">
        <f t="shared" si="4"/>
        <v>0</v>
      </c>
      <c r="H105" s="42">
        <f t="shared" si="4"/>
        <v>0</v>
      </c>
    </row>
    <row r="106" spans="3:10" x14ac:dyDescent="0.3">
      <c r="C106" s="15" t="s">
        <v>17</v>
      </c>
      <c r="D106" s="15" t="s">
        <v>542</v>
      </c>
      <c r="E106" s="42">
        <f t="shared" si="4"/>
        <v>0</v>
      </c>
      <c r="F106" s="42">
        <f t="shared" si="4"/>
        <v>0</v>
      </c>
      <c r="G106" s="42">
        <f t="shared" si="4"/>
        <v>0</v>
      </c>
      <c r="H106" s="42">
        <f t="shared" si="4"/>
        <v>0</v>
      </c>
    </row>
    <row r="107" spans="3:10" x14ac:dyDescent="0.3">
      <c r="C107" s="15" t="s">
        <v>18</v>
      </c>
      <c r="D107" s="15" t="s">
        <v>542</v>
      </c>
      <c r="E107" s="42">
        <f t="shared" si="4"/>
        <v>0</v>
      </c>
      <c r="F107" s="42">
        <f t="shared" si="4"/>
        <v>0</v>
      </c>
      <c r="G107" s="42">
        <f t="shared" si="4"/>
        <v>0</v>
      </c>
      <c r="H107" s="42">
        <f t="shared" si="4"/>
        <v>0</v>
      </c>
    </row>
    <row r="108" spans="3:10" x14ac:dyDescent="0.3">
      <c r="C108" s="15" t="s">
        <v>19</v>
      </c>
      <c r="D108" s="15" t="s">
        <v>542</v>
      </c>
      <c r="E108" s="42">
        <f t="shared" si="4"/>
        <v>0</v>
      </c>
      <c r="F108" s="42">
        <f t="shared" si="4"/>
        <v>0</v>
      </c>
      <c r="G108" s="42">
        <f t="shared" si="4"/>
        <v>0</v>
      </c>
      <c r="H108" s="42">
        <f t="shared" si="4"/>
        <v>0</v>
      </c>
    </row>
    <row r="109" spans="3:10" x14ac:dyDescent="0.3">
      <c r="C109" s="14" t="s">
        <v>20</v>
      </c>
      <c r="D109" s="15" t="s">
        <v>542</v>
      </c>
      <c r="E109" s="42">
        <f t="shared" si="4"/>
        <v>0</v>
      </c>
      <c r="F109" s="42">
        <f t="shared" si="4"/>
        <v>0</v>
      </c>
      <c r="G109" s="42">
        <f t="shared" si="4"/>
        <v>0</v>
      </c>
      <c r="H109" s="42">
        <f t="shared" si="4"/>
        <v>0</v>
      </c>
    </row>
    <row r="110" spans="3:10" x14ac:dyDescent="0.3">
      <c r="C110" s="14" t="s">
        <v>21</v>
      </c>
      <c r="D110" s="15" t="s">
        <v>542</v>
      </c>
      <c r="E110" s="42">
        <f t="shared" si="4"/>
        <v>0</v>
      </c>
      <c r="F110" s="42">
        <f t="shared" si="4"/>
        <v>0</v>
      </c>
      <c r="G110" s="42">
        <f t="shared" si="4"/>
        <v>0</v>
      </c>
      <c r="H110" s="42">
        <f t="shared" si="4"/>
        <v>0</v>
      </c>
    </row>
    <row r="111" spans="3:10" x14ac:dyDescent="0.3">
      <c r="C111" s="14" t="s">
        <v>22</v>
      </c>
      <c r="D111" s="15" t="s">
        <v>542</v>
      </c>
      <c r="E111" s="42">
        <f t="shared" si="4"/>
        <v>0</v>
      </c>
      <c r="F111" s="42">
        <f t="shared" si="4"/>
        <v>0</v>
      </c>
      <c r="G111" s="42">
        <f t="shared" si="4"/>
        <v>0</v>
      </c>
      <c r="H111" s="42">
        <f t="shared" si="4"/>
        <v>0</v>
      </c>
    </row>
    <row r="112" spans="3:10" x14ac:dyDescent="0.3">
      <c r="C112" s="102" t="s">
        <v>54</v>
      </c>
      <c r="D112" s="15" t="s">
        <v>542</v>
      </c>
      <c r="E112" s="45">
        <f>SUM(E103:E111)</f>
        <v>0</v>
      </c>
      <c r="F112" s="45">
        <f t="shared" ref="F112:H112" si="5">SUM(F103:F111)</f>
        <v>0</v>
      </c>
      <c r="G112" s="45">
        <f t="shared" si="5"/>
        <v>0</v>
      </c>
      <c r="H112" s="45">
        <f t="shared" si="5"/>
        <v>0</v>
      </c>
      <c r="J112" s="45">
        <f>SUM(E112:H112)</f>
        <v>0</v>
      </c>
    </row>
    <row r="113" spans="3:10" x14ac:dyDescent="0.3">
      <c r="C113" s="36"/>
    </row>
    <row r="114" spans="3:10" x14ac:dyDescent="0.3">
      <c r="C114" s="51" t="s">
        <v>726</v>
      </c>
      <c r="D114" s="84"/>
      <c r="E114" s="91"/>
    </row>
    <row r="115" spans="3:10" x14ac:dyDescent="0.3">
      <c r="C115" s="20" t="s">
        <v>14</v>
      </c>
      <c r="D115" s="15" t="s">
        <v>69</v>
      </c>
      <c r="E115" s="42" t="e">
        <f t="shared" ref="E115:H123" si="6">E92*E43*$J43</f>
        <v>#VALUE!</v>
      </c>
      <c r="F115" s="42" t="e">
        <f t="shared" si="6"/>
        <v>#VALUE!</v>
      </c>
      <c r="G115" s="42" t="e">
        <f t="shared" si="6"/>
        <v>#VALUE!</v>
      </c>
      <c r="H115" s="42" t="e">
        <f t="shared" si="6"/>
        <v>#VALUE!</v>
      </c>
    </row>
    <row r="116" spans="3:10" x14ac:dyDescent="0.3">
      <c r="C116" s="14" t="s">
        <v>15</v>
      </c>
      <c r="D116" s="15" t="s">
        <v>69</v>
      </c>
      <c r="E116" s="42" t="e">
        <f t="shared" si="6"/>
        <v>#VALUE!</v>
      </c>
      <c r="F116" s="42" t="e">
        <f t="shared" si="6"/>
        <v>#VALUE!</v>
      </c>
      <c r="G116" s="42" t="e">
        <f t="shared" si="6"/>
        <v>#VALUE!</v>
      </c>
      <c r="H116" s="42" t="e">
        <f t="shared" si="6"/>
        <v>#VALUE!</v>
      </c>
    </row>
    <row r="117" spans="3:10" x14ac:dyDescent="0.3">
      <c r="C117" s="15" t="s">
        <v>16</v>
      </c>
      <c r="D117" s="15" t="s">
        <v>69</v>
      </c>
      <c r="E117" s="42" t="e">
        <f t="shared" si="6"/>
        <v>#VALUE!</v>
      </c>
      <c r="F117" s="42" t="e">
        <f t="shared" si="6"/>
        <v>#VALUE!</v>
      </c>
      <c r="G117" s="42" t="e">
        <f t="shared" si="6"/>
        <v>#VALUE!</v>
      </c>
      <c r="H117" s="42" t="e">
        <f t="shared" si="6"/>
        <v>#VALUE!</v>
      </c>
    </row>
    <row r="118" spans="3:10" x14ac:dyDescent="0.3">
      <c r="C118" s="15" t="s">
        <v>17</v>
      </c>
      <c r="D118" s="15" t="s">
        <v>69</v>
      </c>
      <c r="E118" s="42" t="e">
        <f t="shared" si="6"/>
        <v>#VALUE!</v>
      </c>
      <c r="F118" s="42" t="e">
        <f t="shared" si="6"/>
        <v>#VALUE!</v>
      </c>
      <c r="G118" s="42" t="e">
        <f t="shared" si="6"/>
        <v>#VALUE!</v>
      </c>
      <c r="H118" s="42" t="e">
        <f t="shared" si="6"/>
        <v>#VALUE!</v>
      </c>
    </row>
    <row r="119" spans="3:10" x14ac:dyDescent="0.3">
      <c r="C119" s="15" t="s">
        <v>18</v>
      </c>
      <c r="D119" s="15" t="s">
        <v>69</v>
      </c>
      <c r="E119" s="42" t="e">
        <f t="shared" si="6"/>
        <v>#VALUE!</v>
      </c>
      <c r="F119" s="42" t="e">
        <f t="shared" si="6"/>
        <v>#VALUE!</v>
      </c>
      <c r="G119" s="42" t="e">
        <f t="shared" si="6"/>
        <v>#VALUE!</v>
      </c>
      <c r="H119" s="42" t="e">
        <f t="shared" si="6"/>
        <v>#VALUE!</v>
      </c>
    </row>
    <row r="120" spans="3:10" x14ac:dyDescent="0.3">
      <c r="C120" s="15" t="s">
        <v>19</v>
      </c>
      <c r="D120" s="15" t="s">
        <v>69</v>
      </c>
      <c r="E120" s="42" t="e">
        <f t="shared" si="6"/>
        <v>#VALUE!</v>
      </c>
      <c r="F120" s="42" t="e">
        <f t="shared" si="6"/>
        <v>#VALUE!</v>
      </c>
      <c r="G120" s="42" t="e">
        <f t="shared" si="6"/>
        <v>#VALUE!</v>
      </c>
      <c r="H120" s="42" t="e">
        <f t="shared" si="6"/>
        <v>#VALUE!</v>
      </c>
    </row>
    <row r="121" spans="3:10" x14ac:dyDescent="0.3">
      <c r="C121" s="14" t="s">
        <v>20</v>
      </c>
      <c r="D121" s="15" t="s">
        <v>69</v>
      </c>
      <c r="E121" s="42" t="e">
        <f t="shared" si="6"/>
        <v>#VALUE!</v>
      </c>
      <c r="F121" s="42" t="e">
        <f t="shared" si="6"/>
        <v>#VALUE!</v>
      </c>
      <c r="G121" s="42" t="e">
        <f t="shared" si="6"/>
        <v>#VALUE!</v>
      </c>
      <c r="H121" s="42" t="e">
        <f t="shared" si="6"/>
        <v>#VALUE!</v>
      </c>
    </row>
    <row r="122" spans="3:10" x14ac:dyDescent="0.3">
      <c r="C122" s="14" t="s">
        <v>21</v>
      </c>
      <c r="D122" s="15" t="s">
        <v>69</v>
      </c>
      <c r="E122" s="42" t="e">
        <f t="shared" si="6"/>
        <v>#VALUE!</v>
      </c>
      <c r="F122" s="42" t="e">
        <f t="shared" si="6"/>
        <v>#VALUE!</v>
      </c>
      <c r="G122" s="42" t="e">
        <f t="shared" si="6"/>
        <v>#VALUE!</v>
      </c>
      <c r="H122" s="42" t="e">
        <f t="shared" si="6"/>
        <v>#VALUE!</v>
      </c>
    </row>
    <row r="123" spans="3:10" x14ac:dyDescent="0.3">
      <c r="C123" s="14" t="s">
        <v>22</v>
      </c>
      <c r="D123" s="15" t="s">
        <v>69</v>
      </c>
      <c r="E123" s="42" t="e">
        <f t="shared" si="6"/>
        <v>#VALUE!</v>
      </c>
      <c r="F123" s="42" t="e">
        <f t="shared" si="6"/>
        <v>#VALUE!</v>
      </c>
      <c r="G123" s="42" t="e">
        <f t="shared" si="6"/>
        <v>#VALUE!</v>
      </c>
      <c r="H123" s="42" t="e">
        <f t="shared" si="6"/>
        <v>#VALUE!</v>
      </c>
    </row>
    <row r="124" spans="3:10" x14ac:dyDescent="0.3">
      <c r="C124" s="102" t="s">
        <v>54</v>
      </c>
      <c r="D124" s="15" t="s">
        <v>69</v>
      </c>
      <c r="E124" s="45" t="e">
        <f>SUM(E115:E123)</f>
        <v>#VALUE!</v>
      </c>
      <c r="F124" s="45" t="e">
        <f t="shared" ref="F124:H124" si="7">SUM(F115:F123)</f>
        <v>#VALUE!</v>
      </c>
      <c r="G124" s="45" t="e">
        <f t="shared" si="7"/>
        <v>#VALUE!</v>
      </c>
      <c r="H124" s="45" t="e">
        <f t="shared" si="7"/>
        <v>#VALUE!</v>
      </c>
      <c r="J124" s="45" t="e">
        <f>SUM(E124:H124)</f>
        <v>#VALUE!</v>
      </c>
    </row>
    <row r="125" spans="3:10" x14ac:dyDescent="0.3">
      <c r="C125" s="36"/>
    </row>
    <row r="126" spans="3:10" x14ac:dyDescent="0.3">
      <c r="C126" s="51" t="s">
        <v>522</v>
      </c>
      <c r="D126" s="84"/>
      <c r="E126" s="91"/>
    </row>
    <row r="127" spans="3:10" x14ac:dyDescent="0.3">
      <c r="C127" s="20" t="s">
        <v>14</v>
      </c>
      <c r="D127" s="84" t="s">
        <v>527</v>
      </c>
      <c r="E127" s="42" t="e">
        <f t="shared" ref="E127:H135" si="8">E92*E54</f>
        <v>#VALUE!</v>
      </c>
      <c r="F127" s="42" t="e">
        <f t="shared" si="8"/>
        <v>#VALUE!</v>
      </c>
      <c r="G127" s="42" t="e">
        <f t="shared" si="8"/>
        <v>#VALUE!</v>
      </c>
      <c r="H127" s="42" t="e">
        <f t="shared" si="8"/>
        <v>#VALUE!</v>
      </c>
    </row>
    <row r="128" spans="3:10" x14ac:dyDescent="0.3">
      <c r="C128" s="14" t="s">
        <v>15</v>
      </c>
      <c r="D128" s="84" t="s">
        <v>527</v>
      </c>
      <c r="E128" s="42">
        <f t="shared" si="8"/>
        <v>0</v>
      </c>
      <c r="F128" s="42">
        <f t="shared" si="8"/>
        <v>0</v>
      </c>
      <c r="G128" s="42">
        <f t="shared" si="8"/>
        <v>0</v>
      </c>
      <c r="H128" s="42">
        <f t="shared" si="8"/>
        <v>0</v>
      </c>
    </row>
    <row r="129" spans="3:10" x14ac:dyDescent="0.3">
      <c r="C129" s="15" t="s">
        <v>16</v>
      </c>
      <c r="D129" s="84" t="s">
        <v>527</v>
      </c>
      <c r="E129" s="42">
        <f t="shared" si="8"/>
        <v>0</v>
      </c>
      <c r="F129" s="42">
        <f t="shared" si="8"/>
        <v>0</v>
      </c>
      <c r="G129" s="42">
        <f t="shared" si="8"/>
        <v>0</v>
      </c>
      <c r="H129" s="42">
        <f t="shared" si="8"/>
        <v>0</v>
      </c>
    </row>
    <row r="130" spans="3:10" x14ac:dyDescent="0.3">
      <c r="C130" s="15" t="s">
        <v>17</v>
      </c>
      <c r="D130" s="84" t="s">
        <v>527</v>
      </c>
      <c r="E130" s="42">
        <f t="shared" si="8"/>
        <v>0</v>
      </c>
      <c r="F130" s="42">
        <f t="shared" si="8"/>
        <v>0</v>
      </c>
      <c r="G130" s="42">
        <f t="shared" si="8"/>
        <v>0</v>
      </c>
      <c r="H130" s="42">
        <f t="shared" si="8"/>
        <v>0</v>
      </c>
    </row>
    <row r="131" spans="3:10" x14ac:dyDescent="0.3">
      <c r="C131" s="15" t="s">
        <v>18</v>
      </c>
      <c r="D131" s="84" t="s">
        <v>527</v>
      </c>
      <c r="E131" s="42">
        <f t="shared" si="8"/>
        <v>0</v>
      </c>
      <c r="F131" s="42">
        <f t="shared" si="8"/>
        <v>0</v>
      </c>
      <c r="G131" s="42">
        <f t="shared" si="8"/>
        <v>0</v>
      </c>
      <c r="H131" s="42">
        <f t="shared" si="8"/>
        <v>0</v>
      </c>
    </row>
    <row r="132" spans="3:10" x14ac:dyDescent="0.3">
      <c r="C132" s="15" t="s">
        <v>19</v>
      </c>
      <c r="D132" s="84" t="s">
        <v>527</v>
      </c>
      <c r="E132" s="42">
        <f t="shared" si="8"/>
        <v>0</v>
      </c>
      <c r="F132" s="42">
        <f t="shared" si="8"/>
        <v>0</v>
      </c>
      <c r="G132" s="42">
        <f t="shared" si="8"/>
        <v>0</v>
      </c>
      <c r="H132" s="42">
        <f t="shared" si="8"/>
        <v>0</v>
      </c>
    </row>
    <row r="133" spans="3:10" x14ac:dyDescent="0.3">
      <c r="C133" s="14" t="s">
        <v>20</v>
      </c>
      <c r="D133" s="84" t="s">
        <v>527</v>
      </c>
      <c r="E133" s="42">
        <f t="shared" si="8"/>
        <v>0</v>
      </c>
      <c r="F133" s="42">
        <f t="shared" si="8"/>
        <v>0</v>
      </c>
      <c r="G133" s="42">
        <f t="shared" si="8"/>
        <v>0</v>
      </c>
      <c r="H133" s="42">
        <f t="shared" si="8"/>
        <v>0</v>
      </c>
    </row>
    <row r="134" spans="3:10" x14ac:dyDescent="0.3">
      <c r="C134" s="14" t="s">
        <v>21</v>
      </c>
      <c r="D134" s="84" t="s">
        <v>527</v>
      </c>
      <c r="E134" s="42" t="e">
        <f t="shared" si="8"/>
        <v>#N/A</v>
      </c>
      <c r="F134" s="42" t="e">
        <f t="shared" si="8"/>
        <v>#N/A</v>
      </c>
      <c r="G134" s="42" t="e">
        <f t="shared" si="8"/>
        <v>#N/A</v>
      </c>
      <c r="H134" s="42" t="e">
        <f t="shared" si="8"/>
        <v>#N/A</v>
      </c>
    </row>
    <row r="135" spans="3:10" x14ac:dyDescent="0.3">
      <c r="C135" s="14" t="s">
        <v>22</v>
      </c>
      <c r="D135" s="84" t="s">
        <v>527</v>
      </c>
      <c r="E135" s="42" t="e">
        <f t="shared" si="8"/>
        <v>#N/A</v>
      </c>
      <c r="F135" s="42" t="e">
        <f t="shared" si="8"/>
        <v>#N/A</v>
      </c>
      <c r="G135" s="42" t="e">
        <f t="shared" si="8"/>
        <v>#N/A</v>
      </c>
      <c r="H135" s="42" t="e">
        <f t="shared" si="8"/>
        <v>#N/A</v>
      </c>
    </row>
    <row r="136" spans="3:10" x14ac:dyDescent="0.3">
      <c r="C136" s="102" t="s">
        <v>54</v>
      </c>
      <c r="D136" s="133" t="s">
        <v>527</v>
      </c>
      <c r="E136" s="45" t="e">
        <f>SUM(E127:E135)</f>
        <v>#VALUE!</v>
      </c>
      <c r="F136" s="45" t="e">
        <f t="shared" ref="F136:H136" si="9">SUM(F127:F135)</f>
        <v>#VALUE!</v>
      </c>
      <c r="G136" s="45" t="e">
        <f t="shared" si="9"/>
        <v>#VALUE!</v>
      </c>
      <c r="H136" s="45" t="e">
        <f t="shared" si="9"/>
        <v>#VALUE!</v>
      </c>
      <c r="J136" s="45" t="e">
        <f>SUM(E136:H136)</f>
        <v>#VALUE!</v>
      </c>
    </row>
    <row r="137" spans="3:10" x14ac:dyDescent="0.3">
      <c r="C137" s="20"/>
      <c r="E137" s="42"/>
    </row>
    <row r="138" spans="3:10" x14ac:dyDescent="0.3">
      <c r="C138" s="51" t="s">
        <v>544</v>
      </c>
      <c r="D138" s="207"/>
      <c r="E138" s="208"/>
    </row>
    <row r="139" spans="3:10" x14ac:dyDescent="0.3">
      <c r="C139" s="209" t="s">
        <v>14</v>
      </c>
      <c r="D139" s="207" t="s">
        <v>605</v>
      </c>
      <c r="E139" s="97" t="e">
        <f>E127*E$14</f>
        <v>#VALUE!</v>
      </c>
      <c r="F139" s="97" t="e">
        <f t="shared" ref="F139:H139" si="10">F127*F$14</f>
        <v>#VALUE!</v>
      </c>
      <c r="G139" s="97" t="e">
        <f t="shared" si="10"/>
        <v>#VALUE!</v>
      </c>
      <c r="H139" s="97" t="e">
        <f t="shared" si="10"/>
        <v>#VALUE!</v>
      </c>
    </row>
    <row r="140" spans="3:10" x14ac:dyDescent="0.3">
      <c r="C140" s="213" t="s">
        <v>15</v>
      </c>
      <c r="D140" s="207" t="s">
        <v>605</v>
      </c>
      <c r="E140" s="97">
        <f t="shared" ref="E140:H147" si="11">E128*E$14</f>
        <v>0</v>
      </c>
      <c r="F140" s="97">
        <f t="shared" si="11"/>
        <v>0</v>
      </c>
      <c r="G140" s="97">
        <f t="shared" si="11"/>
        <v>0</v>
      </c>
      <c r="H140" s="97">
        <f t="shared" si="11"/>
        <v>0</v>
      </c>
    </row>
    <row r="141" spans="3:10" x14ac:dyDescent="0.3">
      <c r="C141" s="210" t="s">
        <v>16</v>
      </c>
      <c r="D141" s="207" t="s">
        <v>605</v>
      </c>
      <c r="E141" s="97">
        <f t="shared" si="11"/>
        <v>0</v>
      </c>
      <c r="F141" s="97">
        <f t="shared" si="11"/>
        <v>0</v>
      </c>
      <c r="G141" s="97">
        <f t="shared" si="11"/>
        <v>0</v>
      </c>
      <c r="H141" s="97">
        <f t="shared" si="11"/>
        <v>0</v>
      </c>
    </row>
    <row r="142" spans="3:10" x14ac:dyDescent="0.3">
      <c r="C142" s="210" t="s">
        <v>17</v>
      </c>
      <c r="D142" s="207" t="s">
        <v>605</v>
      </c>
      <c r="E142" s="97">
        <f t="shared" si="11"/>
        <v>0</v>
      </c>
      <c r="F142" s="97">
        <f t="shared" si="11"/>
        <v>0</v>
      </c>
      <c r="G142" s="97">
        <f t="shared" si="11"/>
        <v>0</v>
      </c>
      <c r="H142" s="97">
        <f t="shared" si="11"/>
        <v>0</v>
      </c>
    </row>
    <row r="143" spans="3:10" x14ac:dyDescent="0.3">
      <c r="C143" s="210" t="s">
        <v>18</v>
      </c>
      <c r="D143" s="207" t="s">
        <v>605</v>
      </c>
      <c r="E143" s="97">
        <f t="shared" si="11"/>
        <v>0</v>
      </c>
      <c r="F143" s="97">
        <f t="shared" si="11"/>
        <v>0</v>
      </c>
      <c r="G143" s="97">
        <f t="shared" si="11"/>
        <v>0</v>
      </c>
      <c r="H143" s="97">
        <f t="shared" si="11"/>
        <v>0</v>
      </c>
    </row>
    <row r="144" spans="3:10" x14ac:dyDescent="0.3">
      <c r="C144" s="210" t="s">
        <v>19</v>
      </c>
      <c r="D144" s="207" t="s">
        <v>605</v>
      </c>
      <c r="E144" s="97">
        <f t="shared" si="11"/>
        <v>0</v>
      </c>
      <c r="F144" s="97">
        <f t="shared" si="11"/>
        <v>0</v>
      </c>
      <c r="G144" s="97">
        <f t="shared" si="11"/>
        <v>0</v>
      </c>
      <c r="H144" s="97">
        <f t="shared" si="11"/>
        <v>0</v>
      </c>
    </row>
    <row r="145" spans="3:10" x14ac:dyDescent="0.3">
      <c r="C145" s="213" t="s">
        <v>20</v>
      </c>
      <c r="D145" s="207" t="s">
        <v>605</v>
      </c>
      <c r="E145" s="97">
        <f t="shared" si="11"/>
        <v>0</v>
      </c>
      <c r="F145" s="97">
        <f t="shared" si="11"/>
        <v>0</v>
      </c>
      <c r="G145" s="97">
        <f t="shared" si="11"/>
        <v>0</v>
      </c>
      <c r="H145" s="97">
        <f t="shared" si="11"/>
        <v>0</v>
      </c>
    </row>
    <row r="146" spans="3:10" x14ac:dyDescent="0.3">
      <c r="C146" s="213" t="s">
        <v>21</v>
      </c>
      <c r="D146" s="207" t="s">
        <v>605</v>
      </c>
      <c r="E146" s="97" t="e">
        <f>E134*E$14</f>
        <v>#N/A</v>
      </c>
      <c r="F146" s="97" t="e">
        <f t="shared" si="11"/>
        <v>#N/A</v>
      </c>
      <c r="G146" s="97" t="e">
        <f t="shared" si="11"/>
        <v>#N/A</v>
      </c>
      <c r="H146" s="97" t="e">
        <f t="shared" si="11"/>
        <v>#N/A</v>
      </c>
    </row>
    <row r="147" spans="3:10" x14ac:dyDescent="0.3">
      <c r="C147" s="213" t="s">
        <v>22</v>
      </c>
      <c r="D147" s="207" t="s">
        <v>605</v>
      </c>
      <c r="E147" s="97" t="e">
        <f t="shared" si="11"/>
        <v>#N/A</v>
      </c>
      <c r="F147" s="97" t="e">
        <f t="shared" si="11"/>
        <v>#N/A</v>
      </c>
      <c r="G147" s="97" t="e">
        <f t="shared" si="11"/>
        <v>#N/A</v>
      </c>
      <c r="H147" s="97" t="e">
        <f t="shared" si="11"/>
        <v>#N/A</v>
      </c>
    </row>
    <row r="148" spans="3:10" x14ac:dyDescent="0.3">
      <c r="C148" s="216" t="s">
        <v>54</v>
      </c>
      <c r="D148" s="218" t="s">
        <v>605</v>
      </c>
      <c r="E148" s="217" t="e">
        <f>SUM(E139:E147)</f>
        <v>#VALUE!</v>
      </c>
      <c r="F148" s="217" t="e">
        <f>SUM(F139:F147)</f>
        <v>#VALUE!</v>
      </c>
      <c r="G148" s="217" t="e">
        <f>SUM(G139:G147)</f>
        <v>#VALUE!</v>
      </c>
      <c r="H148" s="217" t="e">
        <f>SUM(H139:H147)</f>
        <v>#VALUE!</v>
      </c>
      <c r="J148" s="217" t="e">
        <f>SUM(E148:H148)</f>
        <v>#VALUE!</v>
      </c>
    </row>
    <row r="149" spans="3:10" x14ac:dyDescent="0.3">
      <c r="C149" s="221"/>
      <c r="D149" s="222"/>
      <c r="E149" s="223"/>
      <c r="F149" s="223"/>
      <c r="G149" s="223"/>
      <c r="H149" s="223"/>
      <c r="J149" s="223"/>
    </row>
    <row r="150" spans="3:10" x14ac:dyDescent="0.3">
      <c r="C150" s="51" t="s">
        <v>313</v>
      </c>
      <c r="E150" s="91"/>
    </row>
    <row r="151" spans="3:10" x14ac:dyDescent="0.3">
      <c r="C151" s="20" t="s">
        <v>14</v>
      </c>
      <c r="D151" s="84" t="s">
        <v>272</v>
      </c>
      <c r="E151" s="42" t="e">
        <f>E92*E65*$J78</f>
        <v>#VALUE!</v>
      </c>
      <c r="F151" s="42" t="e">
        <f t="shared" ref="F151:H151" si="12">F92*F65*$J78</f>
        <v>#VALUE!</v>
      </c>
      <c r="G151" s="42" t="e">
        <f t="shared" si="12"/>
        <v>#VALUE!</v>
      </c>
      <c r="H151" s="42" t="e">
        <f t="shared" si="12"/>
        <v>#VALUE!</v>
      </c>
    </row>
    <row r="152" spans="3:10" x14ac:dyDescent="0.3">
      <c r="C152" s="14" t="s">
        <v>15</v>
      </c>
      <c r="D152" s="15" t="s">
        <v>272</v>
      </c>
      <c r="E152" s="42">
        <f t="shared" ref="E152:H159" si="13">E93*E66*$J79</f>
        <v>0</v>
      </c>
      <c r="F152" s="42">
        <f t="shared" si="13"/>
        <v>0</v>
      </c>
      <c r="G152" s="42">
        <f t="shared" si="13"/>
        <v>0</v>
      </c>
      <c r="H152" s="42">
        <f t="shared" si="13"/>
        <v>0</v>
      </c>
    </row>
    <row r="153" spans="3:10" x14ac:dyDescent="0.3">
      <c r="C153" s="15" t="s">
        <v>16</v>
      </c>
      <c r="D153" s="15" t="s">
        <v>272</v>
      </c>
      <c r="E153" s="42">
        <f t="shared" si="13"/>
        <v>0</v>
      </c>
      <c r="F153" s="42">
        <f t="shared" si="13"/>
        <v>0</v>
      </c>
      <c r="G153" s="42">
        <f t="shared" si="13"/>
        <v>0</v>
      </c>
      <c r="H153" s="42">
        <f t="shared" si="13"/>
        <v>0</v>
      </c>
    </row>
    <row r="154" spans="3:10" x14ac:dyDescent="0.3">
      <c r="C154" s="15" t="s">
        <v>17</v>
      </c>
      <c r="D154" s="15" t="s">
        <v>272</v>
      </c>
      <c r="E154" s="42">
        <f t="shared" si="13"/>
        <v>0</v>
      </c>
      <c r="F154" s="42">
        <f t="shared" si="13"/>
        <v>0</v>
      </c>
      <c r="G154" s="42">
        <f t="shared" si="13"/>
        <v>0</v>
      </c>
      <c r="H154" s="42">
        <f t="shared" si="13"/>
        <v>0</v>
      </c>
    </row>
    <row r="155" spans="3:10" x14ac:dyDescent="0.3">
      <c r="C155" s="15" t="s">
        <v>18</v>
      </c>
      <c r="D155" s="15" t="s">
        <v>272</v>
      </c>
      <c r="E155" s="42">
        <f t="shared" si="13"/>
        <v>0</v>
      </c>
      <c r="F155" s="42">
        <f t="shared" si="13"/>
        <v>0</v>
      </c>
      <c r="G155" s="42">
        <f t="shared" si="13"/>
        <v>0</v>
      </c>
      <c r="H155" s="42">
        <f t="shared" si="13"/>
        <v>0</v>
      </c>
    </row>
    <row r="156" spans="3:10" x14ac:dyDescent="0.3">
      <c r="C156" s="15" t="s">
        <v>19</v>
      </c>
      <c r="D156" s="15" t="s">
        <v>272</v>
      </c>
      <c r="E156" s="42">
        <f t="shared" si="13"/>
        <v>0</v>
      </c>
      <c r="F156" s="42">
        <f t="shared" si="13"/>
        <v>0</v>
      </c>
      <c r="G156" s="42">
        <f t="shared" si="13"/>
        <v>0</v>
      </c>
      <c r="H156" s="42">
        <f t="shared" si="13"/>
        <v>0</v>
      </c>
    </row>
    <row r="157" spans="3:10" x14ac:dyDescent="0.3">
      <c r="C157" s="14" t="s">
        <v>20</v>
      </c>
      <c r="D157" s="15" t="s">
        <v>272</v>
      </c>
      <c r="E157" s="42">
        <f t="shared" si="13"/>
        <v>0</v>
      </c>
      <c r="F157" s="42">
        <f t="shared" si="13"/>
        <v>0</v>
      </c>
      <c r="G157" s="42">
        <f t="shared" si="13"/>
        <v>0</v>
      </c>
      <c r="H157" s="42">
        <f t="shared" si="13"/>
        <v>0</v>
      </c>
    </row>
    <row r="158" spans="3:10" x14ac:dyDescent="0.3">
      <c r="C158" s="14" t="s">
        <v>21</v>
      </c>
      <c r="D158" s="15" t="s">
        <v>272</v>
      </c>
      <c r="E158" s="42" t="e">
        <f t="shared" si="13"/>
        <v>#N/A</v>
      </c>
      <c r="F158" s="42" t="e">
        <f t="shared" si="13"/>
        <v>#N/A</v>
      </c>
      <c r="G158" s="42" t="e">
        <f t="shared" si="13"/>
        <v>#N/A</v>
      </c>
      <c r="H158" s="42" t="e">
        <f t="shared" si="13"/>
        <v>#N/A</v>
      </c>
    </row>
    <row r="159" spans="3:10" x14ac:dyDescent="0.3">
      <c r="C159" s="14" t="s">
        <v>22</v>
      </c>
      <c r="D159" s="15" t="s">
        <v>272</v>
      </c>
      <c r="E159" s="42" t="e">
        <f t="shared" si="13"/>
        <v>#N/A</v>
      </c>
      <c r="F159" s="42" t="e">
        <f t="shared" si="13"/>
        <v>#N/A</v>
      </c>
      <c r="G159" s="42" t="e">
        <f t="shared" si="13"/>
        <v>#N/A</v>
      </c>
      <c r="H159" s="42" t="e">
        <f t="shared" si="13"/>
        <v>#N/A</v>
      </c>
    </row>
    <row r="160" spans="3:10" x14ac:dyDescent="0.3">
      <c r="C160" s="102" t="s">
        <v>54</v>
      </c>
      <c r="D160" s="84" t="s">
        <v>272</v>
      </c>
      <c r="E160" s="45" t="e">
        <f>SUM(E151:E159)</f>
        <v>#VALUE!</v>
      </c>
      <c r="F160" s="45" t="e">
        <f t="shared" ref="F160:H160" si="14">SUM(F151:F159)</f>
        <v>#VALUE!</v>
      </c>
      <c r="G160" s="45" t="e">
        <f t="shared" si="14"/>
        <v>#VALUE!</v>
      </c>
      <c r="H160" s="45" t="e">
        <f t="shared" si="14"/>
        <v>#VALUE!</v>
      </c>
      <c r="J160" s="45" t="e">
        <f>SUM(E160:H160)</f>
        <v>#VALUE!</v>
      </c>
    </row>
    <row r="162" spans="3:10" x14ac:dyDescent="0.3">
      <c r="C162" s="51" t="s">
        <v>546</v>
      </c>
      <c r="E162" s="208"/>
    </row>
    <row r="163" spans="3:10" x14ac:dyDescent="0.3">
      <c r="C163" s="209" t="s">
        <v>14</v>
      </c>
      <c r="D163" s="207" t="s">
        <v>69</v>
      </c>
      <c r="E163" s="42" t="e">
        <f>E151*$J78</f>
        <v>#VALUE!</v>
      </c>
      <c r="F163" s="42" t="e">
        <f t="shared" ref="F163:H163" si="15">F151*$J78</f>
        <v>#VALUE!</v>
      </c>
      <c r="G163" s="42" t="e">
        <f t="shared" si="15"/>
        <v>#VALUE!</v>
      </c>
      <c r="H163" s="42" t="e">
        <f t="shared" si="15"/>
        <v>#VALUE!</v>
      </c>
    </row>
    <row r="164" spans="3:10" x14ac:dyDescent="0.3">
      <c r="C164" s="213" t="s">
        <v>15</v>
      </c>
      <c r="D164" s="207" t="s">
        <v>69</v>
      </c>
      <c r="E164" s="42">
        <f t="shared" ref="E164:H171" si="16">E152*$J79</f>
        <v>0</v>
      </c>
      <c r="F164" s="42">
        <f t="shared" si="16"/>
        <v>0</v>
      </c>
      <c r="G164" s="42">
        <f t="shared" si="16"/>
        <v>0</v>
      </c>
      <c r="H164" s="42">
        <f t="shared" si="16"/>
        <v>0</v>
      </c>
    </row>
    <row r="165" spans="3:10" x14ac:dyDescent="0.3">
      <c r="C165" s="210" t="s">
        <v>16</v>
      </c>
      <c r="D165" s="207" t="s">
        <v>69</v>
      </c>
      <c r="E165" s="42">
        <f t="shared" si="16"/>
        <v>0</v>
      </c>
      <c r="F165" s="42">
        <f t="shared" si="16"/>
        <v>0</v>
      </c>
      <c r="G165" s="42">
        <f t="shared" si="16"/>
        <v>0</v>
      </c>
      <c r="H165" s="42">
        <f t="shared" si="16"/>
        <v>0</v>
      </c>
    </row>
    <row r="166" spans="3:10" x14ac:dyDescent="0.3">
      <c r="C166" s="210" t="s">
        <v>17</v>
      </c>
      <c r="D166" s="207" t="s">
        <v>69</v>
      </c>
      <c r="E166" s="42">
        <f t="shared" si="16"/>
        <v>0</v>
      </c>
      <c r="F166" s="42">
        <f t="shared" si="16"/>
        <v>0</v>
      </c>
      <c r="G166" s="42">
        <f t="shared" si="16"/>
        <v>0</v>
      </c>
      <c r="H166" s="42">
        <f t="shared" si="16"/>
        <v>0</v>
      </c>
    </row>
    <row r="167" spans="3:10" x14ac:dyDescent="0.3">
      <c r="C167" s="210" t="s">
        <v>18</v>
      </c>
      <c r="D167" s="207" t="s">
        <v>69</v>
      </c>
      <c r="E167" s="42">
        <f t="shared" si="16"/>
        <v>0</v>
      </c>
      <c r="F167" s="42">
        <f t="shared" si="16"/>
        <v>0</v>
      </c>
      <c r="G167" s="42">
        <f t="shared" si="16"/>
        <v>0</v>
      </c>
      <c r="H167" s="42">
        <f t="shared" si="16"/>
        <v>0</v>
      </c>
    </row>
    <row r="168" spans="3:10" x14ac:dyDescent="0.3">
      <c r="C168" s="210" t="s">
        <v>19</v>
      </c>
      <c r="D168" s="207" t="s">
        <v>69</v>
      </c>
      <c r="E168" s="42">
        <f t="shared" si="16"/>
        <v>0</v>
      </c>
      <c r="F168" s="42">
        <f t="shared" si="16"/>
        <v>0</v>
      </c>
      <c r="G168" s="42">
        <f t="shared" si="16"/>
        <v>0</v>
      </c>
      <c r="H168" s="42">
        <f t="shared" si="16"/>
        <v>0</v>
      </c>
    </row>
    <row r="169" spans="3:10" x14ac:dyDescent="0.3">
      <c r="C169" s="213" t="s">
        <v>20</v>
      </c>
      <c r="D169" s="207" t="s">
        <v>69</v>
      </c>
      <c r="E169" s="42">
        <f t="shared" si="16"/>
        <v>0</v>
      </c>
      <c r="F169" s="42">
        <f t="shared" si="16"/>
        <v>0</v>
      </c>
      <c r="G169" s="42">
        <f t="shared" si="16"/>
        <v>0</v>
      </c>
      <c r="H169" s="42">
        <f t="shared" si="16"/>
        <v>0</v>
      </c>
    </row>
    <row r="170" spans="3:10" x14ac:dyDescent="0.3">
      <c r="C170" s="213" t="s">
        <v>21</v>
      </c>
      <c r="D170" s="207" t="s">
        <v>69</v>
      </c>
      <c r="E170" s="42" t="e">
        <f t="shared" si="16"/>
        <v>#N/A</v>
      </c>
      <c r="F170" s="42" t="e">
        <f t="shared" si="16"/>
        <v>#N/A</v>
      </c>
      <c r="G170" s="42" t="e">
        <f t="shared" si="16"/>
        <v>#N/A</v>
      </c>
      <c r="H170" s="42" t="e">
        <f t="shared" si="16"/>
        <v>#N/A</v>
      </c>
    </row>
    <row r="171" spans="3:10" x14ac:dyDescent="0.3">
      <c r="C171" s="213" t="s">
        <v>22</v>
      </c>
      <c r="D171" s="207" t="s">
        <v>69</v>
      </c>
      <c r="E171" s="42" t="e">
        <f t="shared" si="16"/>
        <v>#N/A</v>
      </c>
      <c r="F171" s="42" t="e">
        <f t="shared" si="16"/>
        <v>#N/A</v>
      </c>
      <c r="G171" s="42" t="e">
        <f t="shared" si="16"/>
        <v>#N/A</v>
      </c>
      <c r="H171" s="42" t="e">
        <f t="shared" si="16"/>
        <v>#N/A</v>
      </c>
    </row>
    <row r="172" spans="3:10" x14ac:dyDescent="0.3">
      <c r="C172" s="216" t="s">
        <v>54</v>
      </c>
      <c r="D172" s="207" t="s">
        <v>69</v>
      </c>
      <c r="E172" s="45" t="e">
        <f>SUM(E163:E171)</f>
        <v>#VALUE!</v>
      </c>
      <c r="F172" s="45" t="e">
        <f>SUM(F163:F171)</f>
        <v>#VALUE!</v>
      </c>
      <c r="G172" s="45" t="e">
        <f>SUM(G163:G171)</f>
        <v>#VALUE!</v>
      </c>
      <c r="H172" s="45" t="e">
        <f>SUM(H163:H171)</f>
        <v>#VALUE!</v>
      </c>
      <c r="J172" s="45" t="e">
        <f>SUM(E172:H172)</f>
        <v>#VALUE!</v>
      </c>
    </row>
    <row r="174" spans="3:10" x14ac:dyDescent="0.3">
      <c r="C174" s="51" t="s">
        <v>547</v>
      </c>
    </row>
    <row r="175" spans="3:10" x14ac:dyDescent="0.3">
      <c r="C175" s="209" t="s">
        <v>14</v>
      </c>
      <c r="D175" s="207" t="s">
        <v>548</v>
      </c>
      <c r="E175" s="160" t="e">
        <f>E92*(M54+U54+AC54+AK54)</f>
        <v>#DIV/0!</v>
      </c>
      <c r="F175" s="160" t="e">
        <f t="shared" ref="F175:H183" si="17">F92*(N54+V54+AD54+AL54)</f>
        <v>#DIV/0!</v>
      </c>
      <c r="G175" s="160" t="e">
        <f t="shared" si="17"/>
        <v>#DIV/0!</v>
      </c>
      <c r="H175" s="160" t="e">
        <f t="shared" si="17"/>
        <v>#DIV/0!</v>
      </c>
    </row>
    <row r="176" spans="3:10" x14ac:dyDescent="0.3">
      <c r="C176" s="213" t="s">
        <v>15</v>
      </c>
      <c r="D176" s="207" t="s">
        <v>548</v>
      </c>
      <c r="E176" s="130">
        <f t="shared" ref="E176:E183" si="18">E93*(M55+U55+AC55+AK55)</f>
        <v>0</v>
      </c>
      <c r="F176" s="130">
        <f t="shared" si="17"/>
        <v>0</v>
      </c>
      <c r="G176" s="130">
        <f t="shared" si="17"/>
        <v>0</v>
      </c>
      <c r="H176" s="130">
        <f t="shared" si="17"/>
        <v>0</v>
      </c>
    </row>
    <row r="177" spans="3:10" x14ac:dyDescent="0.3">
      <c r="C177" s="210" t="s">
        <v>16</v>
      </c>
      <c r="D177" s="207" t="s">
        <v>548</v>
      </c>
      <c r="E177" s="130">
        <f t="shared" si="18"/>
        <v>0</v>
      </c>
      <c r="F177" s="130">
        <f t="shared" si="17"/>
        <v>0</v>
      </c>
      <c r="G177" s="130">
        <f t="shared" si="17"/>
        <v>0</v>
      </c>
      <c r="H177" s="130">
        <f t="shared" si="17"/>
        <v>0</v>
      </c>
    </row>
    <row r="178" spans="3:10" x14ac:dyDescent="0.3">
      <c r="C178" s="210" t="s">
        <v>17</v>
      </c>
      <c r="D178" s="207" t="s">
        <v>548</v>
      </c>
      <c r="E178" s="130">
        <f t="shared" si="18"/>
        <v>0</v>
      </c>
      <c r="F178" s="130">
        <f t="shared" si="17"/>
        <v>0</v>
      </c>
      <c r="G178" s="130">
        <f t="shared" si="17"/>
        <v>0</v>
      </c>
      <c r="H178" s="130">
        <f t="shared" si="17"/>
        <v>0</v>
      </c>
    </row>
    <row r="179" spans="3:10" x14ac:dyDescent="0.3">
      <c r="C179" s="210" t="s">
        <v>18</v>
      </c>
      <c r="D179" s="207" t="s">
        <v>548</v>
      </c>
      <c r="E179" s="130">
        <f t="shared" si="18"/>
        <v>0</v>
      </c>
      <c r="F179" s="130">
        <f t="shared" si="17"/>
        <v>0</v>
      </c>
      <c r="G179" s="130">
        <f t="shared" si="17"/>
        <v>0</v>
      </c>
      <c r="H179" s="130">
        <f t="shared" si="17"/>
        <v>0</v>
      </c>
    </row>
    <row r="180" spans="3:10" x14ac:dyDescent="0.3">
      <c r="C180" s="210" t="s">
        <v>19</v>
      </c>
      <c r="D180" s="207" t="s">
        <v>548</v>
      </c>
      <c r="E180" s="130">
        <f t="shared" si="18"/>
        <v>0</v>
      </c>
      <c r="F180" s="130">
        <f t="shared" si="17"/>
        <v>0</v>
      </c>
      <c r="G180" s="130">
        <f t="shared" si="17"/>
        <v>0</v>
      </c>
      <c r="H180" s="130">
        <f t="shared" si="17"/>
        <v>0</v>
      </c>
    </row>
    <row r="181" spans="3:10" x14ac:dyDescent="0.3">
      <c r="C181" s="213" t="s">
        <v>20</v>
      </c>
      <c r="D181" s="207" t="s">
        <v>548</v>
      </c>
      <c r="E181" s="130">
        <f t="shared" si="18"/>
        <v>0</v>
      </c>
      <c r="F181" s="130">
        <f t="shared" si="17"/>
        <v>0</v>
      </c>
      <c r="G181" s="130">
        <f t="shared" si="17"/>
        <v>0</v>
      </c>
      <c r="H181" s="130">
        <f t="shared" si="17"/>
        <v>0</v>
      </c>
    </row>
    <row r="182" spans="3:10" x14ac:dyDescent="0.3">
      <c r="C182" s="213" t="s">
        <v>21</v>
      </c>
      <c r="D182" s="207" t="s">
        <v>548</v>
      </c>
      <c r="E182" s="160" t="e">
        <f t="shared" si="18"/>
        <v>#DIV/0!</v>
      </c>
      <c r="F182" s="160" t="e">
        <f t="shared" si="17"/>
        <v>#DIV/0!</v>
      </c>
      <c r="G182" s="160" t="e">
        <f t="shared" si="17"/>
        <v>#DIV/0!</v>
      </c>
      <c r="H182" s="160" t="e">
        <f t="shared" si="17"/>
        <v>#DIV/0!</v>
      </c>
    </row>
    <row r="183" spans="3:10" x14ac:dyDescent="0.3">
      <c r="C183" s="213" t="s">
        <v>22</v>
      </c>
      <c r="D183" s="207" t="s">
        <v>548</v>
      </c>
      <c r="E183" s="160" t="e">
        <f t="shared" si="18"/>
        <v>#DIV/0!</v>
      </c>
      <c r="F183" s="160" t="e">
        <f t="shared" si="17"/>
        <v>#DIV/0!</v>
      </c>
      <c r="G183" s="160" t="e">
        <f t="shared" si="17"/>
        <v>#DIV/0!</v>
      </c>
      <c r="H183" s="160" t="e">
        <f t="shared" si="17"/>
        <v>#DIV/0!</v>
      </c>
    </row>
    <row r="184" spans="3:10" x14ac:dyDescent="0.3">
      <c r="C184" s="102" t="s">
        <v>54</v>
      </c>
      <c r="D184" s="84" t="s">
        <v>548</v>
      </c>
      <c r="E184" s="200" t="e">
        <f>SUM(E175:E183)</f>
        <v>#DIV/0!</v>
      </c>
      <c r="F184" s="200" t="e">
        <f t="shared" ref="F184:H184" si="19">SUM(F175:F183)</f>
        <v>#DIV/0!</v>
      </c>
      <c r="G184" s="200" t="e">
        <f t="shared" si="19"/>
        <v>#DIV/0!</v>
      </c>
      <c r="H184" s="200" t="e">
        <f t="shared" si="19"/>
        <v>#DIV/0!</v>
      </c>
      <c r="J184" s="200" t="e">
        <f>SUM(E184:H184)</f>
        <v>#DIV/0!</v>
      </c>
    </row>
    <row r="186" spans="3:10" x14ac:dyDescent="0.3">
      <c r="C186" s="51" t="s">
        <v>549</v>
      </c>
    </row>
    <row r="187" spans="3:10" x14ac:dyDescent="0.3">
      <c r="C187" s="209" t="s">
        <v>14</v>
      </c>
      <c r="D187" s="207" t="s">
        <v>550</v>
      </c>
      <c r="E187" s="160" t="e">
        <f>E175*$E$14</f>
        <v>#DIV/0!</v>
      </c>
      <c r="F187" s="160" t="e">
        <f t="shared" ref="F187:H187" si="20">F175*$E$14</f>
        <v>#DIV/0!</v>
      </c>
      <c r="G187" s="160" t="e">
        <f t="shared" si="20"/>
        <v>#DIV/0!</v>
      </c>
      <c r="H187" s="160" t="e">
        <f t="shared" si="20"/>
        <v>#DIV/0!</v>
      </c>
    </row>
    <row r="188" spans="3:10" x14ac:dyDescent="0.3">
      <c r="C188" s="213" t="s">
        <v>15</v>
      </c>
      <c r="D188" s="207" t="s">
        <v>550</v>
      </c>
      <c r="E188" s="130">
        <f t="shared" ref="E188:H195" si="21">E176*$E$14</f>
        <v>0</v>
      </c>
      <c r="F188" s="130">
        <f t="shared" si="21"/>
        <v>0</v>
      </c>
      <c r="G188" s="130">
        <f t="shared" si="21"/>
        <v>0</v>
      </c>
      <c r="H188" s="130">
        <f t="shared" si="21"/>
        <v>0</v>
      </c>
    </row>
    <row r="189" spans="3:10" x14ac:dyDescent="0.3">
      <c r="C189" s="210" t="s">
        <v>16</v>
      </c>
      <c r="D189" s="207" t="s">
        <v>550</v>
      </c>
      <c r="E189" s="130">
        <f t="shared" si="21"/>
        <v>0</v>
      </c>
      <c r="F189" s="130">
        <f t="shared" si="21"/>
        <v>0</v>
      </c>
      <c r="G189" s="130">
        <f t="shared" si="21"/>
        <v>0</v>
      </c>
      <c r="H189" s="130">
        <f t="shared" si="21"/>
        <v>0</v>
      </c>
    </row>
    <row r="190" spans="3:10" x14ac:dyDescent="0.3">
      <c r="C190" s="210" t="s">
        <v>17</v>
      </c>
      <c r="D190" s="207" t="s">
        <v>550</v>
      </c>
      <c r="E190" s="130">
        <f t="shared" si="21"/>
        <v>0</v>
      </c>
      <c r="F190" s="130">
        <f t="shared" si="21"/>
        <v>0</v>
      </c>
      <c r="G190" s="130">
        <f t="shared" si="21"/>
        <v>0</v>
      </c>
      <c r="H190" s="130">
        <f t="shared" si="21"/>
        <v>0</v>
      </c>
    </row>
    <row r="191" spans="3:10" x14ac:dyDescent="0.3">
      <c r="C191" s="210" t="s">
        <v>18</v>
      </c>
      <c r="D191" s="207" t="s">
        <v>550</v>
      </c>
      <c r="E191" s="130">
        <f t="shared" si="21"/>
        <v>0</v>
      </c>
      <c r="F191" s="130">
        <f t="shared" si="21"/>
        <v>0</v>
      </c>
      <c r="G191" s="130">
        <f t="shared" si="21"/>
        <v>0</v>
      </c>
      <c r="H191" s="130">
        <f t="shared" si="21"/>
        <v>0</v>
      </c>
    </row>
    <row r="192" spans="3:10" x14ac:dyDescent="0.3">
      <c r="C192" s="210" t="s">
        <v>19</v>
      </c>
      <c r="D192" s="207" t="s">
        <v>550</v>
      </c>
      <c r="E192" s="130">
        <f t="shared" si="21"/>
        <v>0</v>
      </c>
      <c r="F192" s="130">
        <f t="shared" si="21"/>
        <v>0</v>
      </c>
      <c r="G192" s="130">
        <f t="shared" si="21"/>
        <v>0</v>
      </c>
      <c r="H192" s="130">
        <f t="shared" si="21"/>
        <v>0</v>
      </c>
    </row>
    <row r="193" spans="3:10" x14ac:dyDescent="0.3">
      <c r="C193" s="213" t="s">
        <v>20</v>
      </c>
      <c r="D193" s="207" t="s">
        <v>550</v>
      </c>
      <c r="E193" s="130">
        <f t="shared" si="21"/>
        <v>0</v>
      </c>
      <c r="F193" s="130">
        <f t="shared" si="21"/>
        <v>0</v>
      </c>
      <c r="G193" s="130">
        <f t="shared" si="21"/>
        <v>0</v>
      </c>
      <c r="H193" s="130">
        <f t="shared" si="21"/>
        <v>0</v>
      </c>
    </row>
    <row r="194" spans="3:10" x14ac:dyDescent="0.3">
      <c r="C194" s="213" t="s">
        <v>21</v>
      </c>
      <c r="D194" s="207" t="s">
        <v>550</v>
      </c>
      <c r="E194" s="160" t="e">
        <f t="shared" si="21"/>
        <v>#DIV/0!</v>
      </c>
      <c r="F194" s="160" t="e">
        <f t="shared" si="21"/>
        <v>#DIV/0!</v>
      </c>
      <c r="G194" s="160" t="e">
        <f t="shared" si="21"/>
        <v>#DIV/0!</v>
      </c>
      <c r="H194" s="160" t="e">
        <f t="shared" si="21"/>
        <v>#DIV/0!</v>
      </c>
    </row>
    <row r="195" spans="3:10" x14ac:dyDescent="0.3">
      <c r="C195" s="213" t="s">
        <v>22</v>
      </c>
      <c r="D195" s="207" t="s">
        <v>550</v>
      </c>
      <c r="E195" s="160" t="e">
        <f t="shared" si="21"/>
        <v>#DIV/0!</v>
      </c>
      <c r="F195" s="160" t="e">
        <f t="shared" si="21"/>
        <v>#DIV/0!</v>
      </c>
      <c r="G195" s="160" t="e">
        <f t="shared" si="21"/>
        <v>#DIV/0!</v>
      </c>
      <c r="H195" s="160" t="e">
        <f t="shared" si="21"/>
        <v>#DIV/0!</v>
      </c>
    </row>
    <row r="196" spans="3:10" x14ac:dyDescent="0.3">
      <c r="C196" s="216" t="s">
        <v>54</v>
      </c>
      <c r="D196" s="207" t="s">
        <v>550</v>
      </c>
      <c r="E196" s="200" t="e">
        <f>SUM(E187:E195)</f>
        <v>#DIV/0!</v>
      </c>
      <c r="F196" s="200" t="e">
        <f>SUM(F187:F195)</f>
        <v>#DIV/0!</v>
      </c>
      <c r="G196" s="200" t="e">
        <f>SUM(G187:G195)</f>
        <v>#DIV/0!</v>
      </c>
      <c r="H196" s="200" t="e">
        <f>SUM(H187:H195)</f>
        <v>#DIV/0!</v>
      </c>
      <c r="J196" s="200" t="e">
        <f>SUM(E196:H196)</f>
        <v>#DIV/0!</v>
      </c>
    </row>
    <row r="198" spans="3:10" x14ac:dyDescent="0.3">
      <c r="C198" s="51" t="s">
        <v>537</v>
      </c>
      <c r="E198" s="159"/>
    </row>
    <row r="199" spans="3:10" x14ac:dyDescent="0.3">
      <c r="C199" s="209" t="s">
        <v>14</v>
      </c>
      <c r="D199" s="207" t="s">
        <v>272</v>
      </c>
      <c r="E199" s="159" t="e">
        <f t="shared" ref="E199:E207" si="22">E92*E78</f>
        <v>#DIV/0!</v>
      </c>
      <c r="F199" s="159" t="e">
        <f t="shared" ref="F199:H199" si="23">F92*F78</f>
        <v>#DIV/0!</v>
      </c>
      <c r="G199" s="159" t="e">
        <f t="shared" si="23"/>
        <v>#DIV/0!</v>
      </c>
      <c r="H199" s="159" t="e">
        <f t="shared" si="23"/>
        <v>#DIV/0!</v>
      </c>
    </row>
    <row r="200" spans="3:10" x14ac:dyDescent="0.3">
      <c r="C200" s="213" t="s">
        <v>15</v>
      </c>
      <c r="D200" s="207" t="s">
        <v>272</v>
      </c>
      <c r="E200" s="42">
        <f t="shared" si="22"/>
        <v>0</v>
      </c>
      <c r="F200" s="42">
        <f t="shared" ref="F200:H207" si="24">F93*F79</f>
        <v>0</v>
      </c>
      <c r="G200" s="42">
        <f t="shared" si="24"/>
        <v>0</v>
      </c>
      <c r="H200" s="42">
        <f t="shared" si="24"/>
        <v>0</v>
      </c>
    </row>
    <row r="201" spans="3:10" x14ac:dyDescent="0.3">
      <c r="C201" s="210" t="s">
        <v>16</v>
      </c>
      <c r="D201" s="207" t="s">
        <v>272</v>
      </c>
      <c r="E201" s="42">
        <f t="shared" si="22"/>
        <v>0</v>
      </c>
      <c r="F201" s="42">
        <f t="shared" si="24"/>
        <v>0</v>
      </c>
      <c r="G201" s="42">
        <f t="shared" si="24"/>
        <v>0</v>
      </c>
      <c r="H201" s="42">
        <f t="shared" si="24"/>
        <v>0</v>
      </c>
    </row>
    <row r="202" spans="3:10" x14ac:dyDescent="0.3">
      <c r="C202" s="210" t="s">
        <v>17</v>
      </c>
      <c r="D202" s="207" t="s">
        <v>272</v>
      </c>
      <c r="E202" s="42">
        <f t="shared" si="22"/>
        <v>0</v>
      </c>
      <c r="F202" s="42">
        <f t="shared" si="24"/>
        <v>0</v>
      </c>
      <c r="G202" s="42">
        <f t="shared" si="24"/>
        <v>0</v>
      </c>
      <c r="H202" s="42">
        <f t="shared" si="24"/>
        <v>0</v>
      </c>
    </row>
    <row r="203" spans="3:10" x14ac:dyDescent="0.3">
      <c r="C203" s="210" t="s">
        <v>18</v>
      </c>
      <c r="D203" s="207" t="s">
        <v>272</v>
      </c>
      <c r="E203" s="42">
        <f t="shared" si="22"/>
        <v>0</v>
      </c>
      <c r="F203" s="42">
        <f t="shared" si="24"/>
        <v>0</v>
      </c>
      <c r="G203" s="42">
        <f t="shared" si="24"/>
        <v>0</v>
      </c>
      <c r="H203" s="42">
        <f t="shared" si="24"/>
        <v>0</v>
      </c>
    </row>
    <row r="204" spans="3:10" x14ac:dyDescent="0.3">
      <c r="C204" s="210" t="s">
        <v>19</v>
      </c>
      <c r="D204" s="207" t="s">
        <v>272</v>
      </c>
      <c r="E204" s="42">
        <f t="shared" si="22"/>
        <v>0</v>
      </c>
      <c r="F204" s="42">
        <f t="shared" si="24"/>
        <v>0</v>
      </c>
      <c r="G204" s="42">
        <f t="shared" si="24"/>
        <v>0</v>
      </c>
      <c r="H204" s="42">
        <f t="shared" si="24"/>
        <v>0</v>
      </c>
    </row>
    <row r="205" spans="3:10" x14ac:dyDescent="0.3">
      <c r="C205" s="213" t="s">
        <v>20</v>
      </c>
      <c r="D205" s="207" t="s">
        <v>272</v>
      </c>
      <c r="E205" s="42">
        <f t="shared" si="22"/>
        <v>0</v>
      </c>
      <c r="F205" s="42">
        <f t="shared" si="24"/>
        <v>0</v>
      </c>
      <c r="G205" s="42">
        <f t="shared" si="24"/>
        <v>0</v>
      </c>
      <c r="H205" s="42">
        <f t="shared" si="24"/>
        <v>0</v>
      </c>
    </row>
    <row r="206" spans="3:10" x14ac:dyDescent="0.3">
      <c r="C206" s="213" t="s">
        <v>21</v>
      </c>
      <c r="D206" s="207" t="s">
        <v>272</v>
      </c>
      <c r="E206" s="159" t="e">
        <f t="shared" si="22"/>
        <v>#DIV/0!</v>
      </c>
      <c r="F206" s="159" t="e">
        <f t="shared" si="24"/>
        <v>#DIV/0!</v>
      </c>
      <c r="G206" s="159" t="e">
        <f t="shared" si="24"/>
        <v>#DIV/0!</v>
      </c>
      <c r="H206" s="159" t="e">
        <f t="shared" si="24"/>
        <v>#DIV/0!</v>
      </c>
    </row>
    <row r="207" spans="3:10" x14ac:dyDescent="0.3">
      <c r="C207" s="213" t="s">
        <v>22</v>
      </c>
      <c r="D207" s="207" t="s">
        <v>272</v>
      </c>
      <c r="E207" s="159" t="e">
        <f t="shared" si="22"/>
        <v>#DIV/0!</v>
      </c>
      <c r="F207" s="159" t="e">
        <f t="shared" si="24"/>
        <v>#DIV/0!</v>
      </c>
      <c r="G207" s="159" t="e">
        <f t="shared" si="24"/>
        <v>#DIV/0!</v>
      </c>
      <c r="H207" s="159" t="e">
        <f t="shared" si="24"/>
        <v>#DIV/0!</v>
      </c>
    </row>
    <row r="208" spans="3:10" x14ac:dyDescent="0.3">
      <c r="C208" s="102" t="s">
        <v>54</v>
      </c>
      <c r="D208" s="133" t="s">
        <v>272</v>
      </c>
      <c r="E208" s="45" t="e">
        <f>SUM(E199:E207)</f>
        <v>#DIV/0!</v>
      </c>
      <c r="F208" s="45" t="e">
        <f t="shared" ref="F208:H208" si="25">SUM(F199:F207)</f>
        <v>#DIV/0!</v>
      </c>
      <c r="G208" s="45" t="e">
        <f t="shared" si="25"/>
        <v>#DIV/0!</v>
      </c>
      <c r="H208" s="45" t="e">
        <f t="shared" si="25"/>
        <v>#DIV/0!</v>
      </c>
      <c r="J208" s="45" t="e">
        <f>SUM(E208:H208)</f>
        <v>#DIV/0!</v>
      </c>
    </row>
    <row r="210" spans="3:10" x14ac:dyDescent="0.3">
      <c r="C210" s="51" t="s">
        <v>551</v>
      </c>
    </row>
    <row r="211" spans="3:10" x14ac:dyDescent="0.3">
      <c r="C211" s="209" t="s">
        <v>14</v>
      </c>
      <c r="D211" s="207" t="s">
        <v>69</v>
      </c>
      <c r="E211" s="159" t="e">
        <f t="shared" ref="E211:E219" si="26">E199*$J78</f>
        <v>#DIV/0!</v>
      </c>
      <c r="F211" s="159" t="e">
        <f t="shared" ref="F211:H211" si="27">F199*$J78</f>
        <v>#DIV/0!</v>
      </c>
      <c r="G211" s="159" t="e">
        <f t="shared" si="27"/>
        <v>#DIV/0!</v>
      </c>
      <c r="H211" s="159" t="e">
        <f t="shared" si="27"/>
        <v>#DIV/0!</v>
      </c>
    </row>
    <row r="212" spans="3:10" x14ac:dyDescent="0.3">
      <c r="C212" s="213" t="s">
        <v>15</v>
      </c>
      <c r="D212" s="207" t="s">
        <v>69</v>
      </c>
      <c r="E212" s="42">
        <f t="shared" si="26"/>
        <v>0</v>
      </c>
      <c r="F212" s="42">
        <f t="shared" ref="F212:H219" si="28">F200*$J79</f>
        <v>0</v>
      </c>
      <c r="G212" s="42">
        <f t="shared" si="28"/>
        <v>0</v>
      </c>
      <c r="H212" s="42">
        <f t="shared" si="28"/>
        <v>0</v>
      </c>
    </row>
    <row r="213" spans="3:10" x14ac:dyDescent="0.3">
      <c r="C213" s="210" t="s">
        <v>16</v>
      </c>
      <c r="D213" s="207" t="s">
        <v>69</v>
      </c>
      <c r="E213" s="42">
        <f t="shared" si="26"/>
        <v>0</v>
      </c>
      <c r="F213" s="42">
        <f t="shared" si="28"/>
        <v>0</v>
      </c>
      <c r="G213" s="42">
        <f t="shared" si="28"/>
        <v>0</v>
      </c>
      <c r="H213" s="42">
        <f t="shared" si="28"/>
        <v>0</v>
      </c>
    </row>
    <row r="214" spans="3:10" x14ac:dyDescent="0.3">
      <c r="C214" s="210" t="s">
        <v>17</v>
      </c>
      <c r="D214" s="207" t="s">
        <v>69</v>
      </c>
      <c r="E214" s="42">
        <f t="shared" si="26"/>
        <v>0</v>
      </c>
      <c r="F214" s="42">
        <f t="shared" si="28"/>
        <v>0</v>
      </c>
      <c r="G214" s="42">
        <f t="shared" si="28"/>
        <v>0</v>
      </c>
      <c r="H214" s="42">
        <f t="shared" si="28"/>
        <v>0</v>
      </c>
    </row>
    <row r="215" spans="3:10" x14ac:dyDescent="0.3">
      <c r="C215" s="210" t="s">
        <v>18</v>
      </c>
      <c r="D215" s="207" t="s">
        <v>69</v>
      </c>
      <c r="E215" s="42">
        <f t="shared" si="26"/>
        <v>0</v>
      </c>
      <c r="F215" s="42">
        <f t="shared" si="28"/>
        <v>0</v>
      </c>
      <c r="G215" s="42">
        <f t="shared" si="28"/>
        <v>0</v>
      </c>
      <c r="H215" s="42">
        <f t="shared" si="28"/>
        <v>0</v>
      </c>
    </row>
    <row r="216" spans="3:10" x14ac:dyDescent="0.3">
      <c r="C216" s="210" t="s">
        <v>19</v>
      </c>
      <c r="D216" s="207" t="s">
        <v>69</v>
      </c>
      <c r="E216" s="42">
        <f t="shared" si="26"/>
        <v>0</v>
      </c>
      <c r="F216" s="42">
        <f t="shared" si="28"/>
        <v>0</v>
      </c>
      <c r="G216" s="42">
        <f t="shared" si="28"/>
        <v>0</v>
      </c>
      <c r="H216" s="42">
        <f t="shared" si="28"/>
        <v>0</v>
      </c>
    </row>
    <row r="217" spans="3:10" x14ac:dyDescent="0.3">
      <c r="C217" s="213" t="s">
        <v>20</v>
      </c>
      <c r="D217" s="207" t="s">
        <v>69</v>
      </c>
      <c r="E217" s="42">
        <f t="shared" si="26"/>
        <v>0</v>
      </c>
      <c r="F217" s="42">
        <f t="shared" si="28"/>
        <v>0</v>
      </c>
      <c r="G217" s="42">
        <f t="shared" si="28"/>
        <v>0</v>
      </c>
      <c r="H217" s="42">
        <f t="shared" si="28"/>
        <v>0</v>
      </c>
    </row>
    <row r="218" spans="3:10" x14ac:dyDescent="0.3">
      <c r="C218" s="213" t="s">
        <v>21</v>
      </c>
      <c r="D218" s="207" t="s">
        <v>69</v>
      </c>
      <c r="E218" s="159" t="e">
        <f t="shared" si="26"/>
        <v>#DIV/0!</v>
      </c>
      <c r="F218" s="159" t="e">
        <f t="shared" si="28"/>
        <v>#DIV/0!</v>
      </c>
      <c r="G218" s="159" t="e">
        <f t="shared" si="28"/>
        <v>#DIV/0!</v>
      </c>
      <c r="H218" s="159" t="e">
        <f t="shared" si="28"/>
        <v>#DIV/0!</v>
      </c>
    </row>
    <row r="219" spans="3:10" x14ac:dyDescent="0.3">
      <c r="C219" s="213" t="s">
        <v>22</v>
      </c>
      <c r="D219" s="207" t="s">
        <v>69</v>
      </c>
      <c r="E219" s="159" t="e">
        <f t="shared" si="26"/>
        <v>#DIV/0!</v>
      </c>
      <c r="F219" s="159" t="e">
        <f t="shared" si="28"/>
        <v>#DIV/0!</v>
      </c>
      <c r="G219" s="159" t="e">
        <f t="shared" si="28"/>
        <v>#DIV/0!</v>
      </c>
      <c r="H219" s="159" t="e">
        <f t="shared" si="28"/>
        <v>#DIV/0!</v>
      </c>
    </row>
    <row r="220" spans="3:10" x14ac:dyDescent="0.3">
      <c r="C220" s="216" t="s">
        <v>54</v>
      </c>
      <c r="D220" s="207" t="s">
        <v>69</v>
      </c>
      <c r="E220" s="45" t="e">
        <f>SUM(E211:E219)</f>
        <v>#DIV/0!</v>
      </c>
      <c r="F220" s="45" t="e">
        <f>SUM(F211:F219)</f>
        <v>#DIV/0!</v>
      </c>
      <c r="G220" s="45" t="e">
        <f>SUM(G211:G219)</f>
        <v>#DIV/0!</v>
      </c>
      <c r="H220" s="45" t="e">
        <f>SUM(H211:H219)</f>
        <v>#DIV/0!</v>
      </c>
      <c r="J220" s="45" t="e">
        <f>SUM(E220:H220)</f>
        <v>#DIV/0!</v>
      </c>
    </row>
  </sheetData>
  <sheetProtection algorithmName="SHA-512" hashValue="JniQTWCbd1pHsxcN/Br+7OafsNIcNUAreLjbRqP++DHORwfftc6h+AkOFX5Sd/puBMTB0PcGYsCqVp+5Dx8M2w==" saltValue="6noA28MEgN4JgvsS0pid2g==" spinCount="100000" sheet="1" objects="1" scenarios="1"/>
  <mergeCells count="6">
    <mergeCell ref="E6:F6"/>
    <mergeCell ref="G6:H6"/>
    <mergeCell ref="E18:F18"/>
    <mergeCell ref="G18:H18"/>
    <mergeCell ref="E90:F90"/>
    <mergeCell ref="G90:H90"/>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3D34-CC02-4806-B0D9-B917CF9C4F44}">
  <sheetPr>
    <tabColor theme="4" tint="0.59999389629810485"/>
  </sheetPr>
  <dimension ref="B2:AN220"/>
  <sheetViews>
    <sheetView zoomScaleNormal="100" workbookViewId="0">
      <pane ySplit="7" topLeftCell="A8" activePane="bottomLeft" state="frozen"/>
      <selection activeCell="J9" sqref="J9"/>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16384" width="8.85546875" style="17"/>
  </cols>
  <sheetData>
    <row r="2" spans="2:24" s="16" customFormat="1" ht="17.25" x14ac:dyDescent="0.3">
      <c r="C2" s="16" t="s">
        <v>145</v>
      </c>
      <c r="D2" s="16" t="s">
        <v>146</v>
      </c>
      <c r="M2" s="201"/>
    </row>
    <row r="3" spans="2:24" x14ac:dyDescent="0.3">
      <c r="M3" s="169"/>
    </row>
    <row r="4" spans="2:24" ht="20.25" x14ac:dyDescent="0.35">
      <c r="B4" s="77"/>
      <c r="C4" s="81" t="s">
        <v>727</v>
      </c>
      <c r="D4" s="76"/>
    </row>
    <row r="5" spans="2:24" s="18" customFormat="1" ht="17.25" thickBot="1" x14ac:dyDescent="0.35">
      <c r="B5" s="233" t="s">
        <v>153</v>
      </c>
      <c r="C5" s="19" t="s">
        <v>154</v>
      </c>
      <c r="D5" s="19" t="s">
        <v>32</v>
      </c>
      <c r="E5" s="19" t="s">
        <v>155</v>
      </c>
      <c r="F5" s="19"/>
      <c r="G5" s="19" t="s">
        <v>155</v>
      </c>
      <c r="H5" s="19"/>
      <c r="I5" s="19"/>
      <c r="J5" s="56" t="s">
        <v>156</v>
      </c>
      <c r="K5" s="56"/>
    </row>
    <row r="6" spans="2:24" s="30" customFormat="1" ht="18" thickTop="1" thickBot="1" x14ac:dyDescent="0.35">
      <c r="B6" s="234"/>
      <c r="C6" s="29" t="s">
        <v>157</v>
      </c>
      <c r="D6" s="29"/>
      <c r="E6" s="335" t="s">
        <v>5</v>
      </c>
      <c r="F6" s="335"/>
      <c r="G6" s="335" t="s">
        <v>6</v>
      </c>
      <c r="H6" s="335"/>
      <c r="I6" s="28"/>
      <c r="J6" s="28"/>
      <c r="K6" s="57"/>
    </row>
    <row r="7" spans="2:24" ht="18" thickTop="1" thickBot="1" x14ac:dyDescent="0.35">
      <c r="B7" s="233"/>
      <c r="C7" s="29" t="s">
        <v>158</v>
      </c>
      <c r="D7" s="29"/>
      <c r="E7" s="29" t="s">
        <v>7</v>
      </c>
      <c r="F7" s="29" t="s">
        <v>8</v>
      </c>
      <c r="G7" s="29" t="s">
        <v>7</v>
      </c>
      <c r="H7" s="29" t="s">
        <v>8</v>
      </c>
      <c r="I7" s="19"/>
      <c r="J7" s="19"/>
      <c r="K7" s="56"/>
    </row>
    <row r="8" spans="2:24" ht="17.25" thickTop="1" x14ac:dyDescent="0.3">
      <c r="C8" s="49" t="s">
        <v>717</v>
      </c>
    </row>
    <row r="9" spans="2:24" x14ac:dyDescent="0.3">
      <c r="C9" s="84" t="s">
        <v>728</v>
      </c>
      <c r="D9" s="15" t="s">
        <v>188</v>
      </c>
      <c r="E9" s="131">
        <v>10</v>
      </c>
      <c r="F9" s="148" t="s">
        <v>718</v>
      </c>
      <c r="G9" s="97">
        <f>J9*E9%</f>
        <v>4.2</v>
      </c>
      <c r="H9" s="26" t="s">
        <v>211</v>
      </c>
      <c r="I9" s="148" t="s">
        <v>719</v>
      </c>
      <c r="J9" s="83">
        <f>'Model homes'!E81</f>
        <v>42</v>
      </c>
      <c r="K9" s="26" t="s">
        <v>211</v>
      </c>
      <c r="M9" s="129"/>
      <c r="N9" s="129"/>
      <c r="O9" s="129"/>
      <c r="P9" s="129"/>
    </row>
    <row r="11" spans="2:24" x14ac:dyDescent="0.3">
      <c r="C11" s="51" t="s">
        <v>723</v>
      </c>
    </row>
    <row r="12" spans="2:24" x14ac:dyDescent="0.3">
      <c r="C12" s="84" t="s">
        <v>728</v>
      </c>
      <c r="D12" s="15" t="s">
        <v>191</v>
      </c>
      <c r="E12" s="42">
        <f>$G9/'Model homes'!$E$83*'Model homes'!E$86</f>
        <v>228.20851199999998</v>
      </c>
      <c r="F12" s="42">
        <f>$G9/'Model homes'!$E$83*'Model homes'!F$86</f>
        <v>228.20851199999998</v>
      </c>
      <c r="G12" s="42">
        <f>$G9/'Model homes'!$E$83*'Model homes'!G$86</f>
        <v>171.156384</v>
      </c>
      <c r="H12" s="42">
        <f>$G9/'Model homes'!$E$83*'Model homes'!H$86</f>
        <v>171.156384</v>
      </c>
    </row>
    <row r="13" spans="2:24" x14ac:dyDescent="0.3">
      <c r="C13" s="232" t="s">
        <v>302</v>
      </c>
      <c r="D13" s="232" t="s">
        <v>301</v>
      </c>
      <c r="E13" s="231">
        <f>'Model homes'!$E169</f>
        <v>0.04</v>
      </c>
      <c r="F13" s="231">
        <f>'Model homes'!$E169</f>
        <v>0.04</v>
      </c>
      <c r="G13" s="231">
        <f>'Model homes'!$E169</f>
        <v>0.04</v>
      </c>
      <c r="H13" s="231">
        <f>'Model homes'!$E169</f>
        <v>0.04</v>
      </c>
    </row>
    <row r="14" spans="2:24" x14ac:dyDescent="0.3">
      <c r="C14" s="14" t="s">
        <v>511</v>
      </c>
      <c r="D14" s="84" t="s">
        <v>512</v>
      </c>
      <c r="E14" s="25">
        <v>3</v>
      </c>
      <c r="F14" s="91">
        <f>E14</f>
        <v>3</v>
      </c>
      <c r="G14" s="91">
        <f t="shared" ref="G14:H14" si="0">F14</f>
        <v>3</v>
      </c>
      <c r="H14" s="91">
        <f t="shared" si="0"/>
        <v>3</v>
      </c>
      <c r="V14" s="18"/>
      <c r="W14" s="18"/>
      <c r="X14" s="18"/>
    </row>
    <row r="15" spans="2:24" x14ac:dyDescent="0.3">
      <c r="C15" s="84"/>
    </row>
    <row r="16" spans="2:24" ht="20.25" x14ac:dyDescent="0.35">
      <c r="C16" s="81" t="s">
        <v>518</v>
      </c>
      <c r="D16" s="46"/>
      <c r="E16" s="55"/>
      <c r="F16" s="55"/>
      <c r="G16" s="55"/>
      <c r="H16" s="55"/>
      <c r="J16" s="26"/>
    </row>
    <row r="17" spans="2:24" s="18" customFormat="1" ht="17.25" thickBot="1" x14ac:dyDescent="0.35">
      <c r="B17" s="233" t="s">
        <v>153</v>
      </c>
      <c r="C17" s="19" t="s">
        <v>154</v>
      </c>
      <c r="D17" s="19" t="s">
        <v>32</v>
      </c>
      <c r="E17" s="19" t="s">
        <v>155</v>
      </c>
      <c r="F17" s="19"/>
      <c r="G17" s="19" t="s">
        <v>155</v>
      </c>
      <c r="H17" s="19"/>
      <c r="I17" s="19"/>
      <c r="J17" s="56" t="s">
        <v>156</v>
      </c>
      <c r="K17" s="56"/>
    </row>
    <row r="18" spans="2:24" s="30" customFormat="1" ht="18" thickTop="1" thickBot="1" x14ac:dyDescent="0.35">
      <c r="B18" s="234"/>
      <c r="C18" s="29" t="s">
        <v>157</v>
      </c>
      <c r="D18" s="29"/>
      <c r="E18" s="335" t="s">
        <v>5</v>
      </c>
      <c r="F18" s="335"/>
      <c r="G18" s="335" t="s">
        <v>6</v>
      </c>
      <c r="H18" s="335"/>
      <c r="I18" s="28"/>
      <c r="J18" s="28"/>
      <c r="K18" s="57"/>
      <c r="M18" s="20"/>
    </row>
    <row r="19" spans="2:24" ht="18" thickTop="1" thickBot="1" x14ac:dyDescent="0.35">
      <c r="B19" s="233"/>
      <c r="C19" s="29" t="s">
        <v>158</v>
      </c>
      <c r="D19" s="29"/>
      <c r="E19" s="29" t="s">
        <v>7</v>
      </c>
      <c r="F19" s="29" t="s">
        <v>8</v>
      </c>
      <c r="G19" s="29" t="s">
        <v>7</v>
      </c>
      <c r="H19" s="29" t="s">
        <v>8</v>
      </c>
      <c r="I19" s="19"/>
      <c r="J19" s="19"/>
      <c r="K19" s="56"/>
      <c r="M19" s="82"/>
      <c r="N19" s="82"/>
    </row>
    <row r="20" spans="2:24" ht="17.25" thickTop="1" x14ac:dyDescent="0.3">
      <c r="C20" s="51" t="s">
        <v>724</v>
      </c>
      <c r="D20" s="84"/>
      <c r="E20" s="91"/>
      <c r="F20" s="91"/>
      <c r="G20" s="91"/>
      <c r="H20" s="91"/>
    </row>
    <row r="21" spans="2:24" x14ac:dyDescent="0.3">
      <c r="C21" s="20" t="s">
        <v>14</v>
      </c>
      <c r="D21" s="15" t="s">
        <v>191</v>
      </c>
      <c r="E21" s="42">
        <f>E$12/'Model homes'!E$86*'Model homes'!E95</f>
        <v>357.60509096907214</v>
      </c>
      <c r="F21" s="42">
        <f>F$12/'Model homes'!F$86*'Model homes'!F95</f>
        <v>353.95605942857139</v>
      </c>
      <c r="G21" s="42">
        <f>G$12/'Model homes'!G$86*'Model homes'!G95</f>
        <v>400.54122853608243</v>
      </c>
      <c r="H21" s="42">
        <f>H$12/'Model homes'!H$86*'Model homes'!H95</f>
        <v>396.45407314285717</v>
      </c>
      <c r="J21" s="26"/>
    </row>
    <row r="22" spans="2:24" x14ac:dyDescent="0.3">
      <c r="C22" s="14" t="s">
        <v>15</v>
      </c>
      <c r="D22" s="15" t="s">
        <v>191</v>
      </c>
      <c r="E22" s="42">
        <f>E$12/'Model homes'!E$86*'Model homes'!E96</f>
        <v>533.65682806153836</v>
      </c>
      <c r="F22" s="42">
        <f>F$12/'Model homes'!F$86*'Model homes'!F96</f>
        <v>495.53848319999997</v>
      </c>
      <c r="G22" s="42">
        <f>G$12/'Model homes'!G$86*'Model homes'!G96</f>
        <v>579.88804728358195</v>
      </c>
      <c r="H22" s="42">
        <f>H$12/'Model homes'!H$86*'Model homes'!H96</f>
        <v>555.03570239999999</v>
      </c>
      <c r="J22" s="26"/>
    </row>
    <row r="23" spans="2:24" x14ac:dyDescent="0.3">
      <c r="C23" s="15" t="s">
        <v>16</v>
      </c>
      <c r="D23" s="15" t="s">
        <v>191</v>
      </c>
      <c r="E23" s="42">
        <f>E$12/'Model homes'!E$86*'Model homes'!E97</f>
        <v>433.59617279999992</v>
      </c>
      <c r="F23" s="42">
        <f>F$12/'Model homes'!F$86*'Model homes'!F97</f>
        <v>412.948736</v>
      </c>
      <c r="G23" s="42">
        <f>G$12/'Model homes'!G$86*'Model homes'!G97</f>
        <v>473.81096546341468</v>
      </c>
      <c r="H23" s="42">
        <f>H$12/'Model homes'!H$86*'Model homes'!H97</f>
        <v>462.52975199999997</v>
      </c>
      <c r="J23" s="26"/>
    </row>
    <row r="24" spans="2:24" x14ac:dyDescent="0.3">
      <c r="C24" s="15" t="s">
        <v>17</v>
      </c>
      <c r="D24" s="15" t="s">
        <v>191</v>
      </c>
      <c r="E24" s="42">
        <f>E$12/'Model homes'!E$86*'Model homes'!E98</f>
        <v>533.65682806153836</v>
      </c>
      <c r="F24" s="42">
        <f>F$12/'Model homes'!F$86*'Model homes'!F98</f>
        <v>495.53848319999997</v>
      </c>
      <c r="G24" s="42">
        <f>G$12/'Model homes'!G$86*'Model homes'!G98</f>
        <v>597.73075643076913</v>
      </c>
      <c r="H24" s="42">
        <f>H$12/'Model homes'!H$86*'Model homes'!H98</f>
        <v>555.03570239999999</v>
      </c>
      <c r="J24" s="26"/>
    </row>
    <row r="25" spans="2:24" x14ac:dyDescent="0.3">
      <c r="C25" s="15" t="s">
        <v>18</v>
      </c>
      <c r="D25" s="15" t="s">
        <v>191</v>
      </c>
      <c r="E25" s="42">
        <f>E$12/'Model homes'!E$86*'Model homes'!E99</f>
        <v>433.59617279999992</v>
      </c>
      <c r="F25" s="42">
        <f>F$12/'Model homes'!F$86*'Model homes'!F99</f>
        <v>408.09051557647052</v>
      </c>
      <c r="G25" s="42">
        <f>G$12/'Model homes'!G$86*'Model homes'!G99</f>
        <v>485.65623959999999</v>
      </c>
      <c r="H25" s="42">
        <f>H$12/'Model homes'!H$86*'Model homes'!H99</f>
        <v>457.08822550588235</v>
      </c>
      <c r="J25" s="26"/>
    </row>
    <row r="26" spans="2:24" x14ac:dyDescent="0.3">
      <c r="C26" s="15" t="s">
        <v>19</v>
      </c>
      <c r="D26" s="15" t="s">
        <v>191</v>
      </c>
      <c r="E26" s="42">
        <f>E$12/'Model homes'!E$86*'Model homes'!E100</f>
        <v>433.59617279999992</v>
      </c>
      <c r="F26" s="42">
        <f>F$12/'Model homes'!F$86*'Model homes'!F100</f>
        <v>403.34527702325579</v>
      </c>
      <c r="G26" s="42">
        <f>G$12/'Model homes'!G$86*'Model homes'!G100</f>
        <v>485.65623959999999</v>
      </c>
      <c r="H26" s="42">
        <f>H$12/'Model homes'!H$86*'Model homes'!H100</f>
        <v>451.77324613953488</v>
      </c>
      <c r="J26" s="26"/>
    </row>
    <row r="27" spans="2:24" x14ac:dyDescent="0.3">
      <c r="C27" s="14" t="s">
        <v>20</v>
      </c>
      <c r="D27" s="15" t="s">
        <v>191</v>
      </c>
      <c r="E27" s="42">
        <f>E$12/'Model homes'!E$86*'Model homes'!E101</f>
        <v>408.09051557647052</v>
      </c>
      <c r="F27" s="42">
        <f>F$12/'Model homes'!F$86*'Model homes'!F101</f>
        <v>398.70912441379306</v>
      </c>
      <c r="G27" s="42">
        <f>G$12/'Model homes'!G$86*'Model homes'!G101</f>
        <v>446.5804502068965</v>
      </c>
      <c r="H27" s="42">
        <f>H$12/'Model homes'!H$86*'Model homes'!H101</f>
        <v>446.5804502068965</v>
      </c>
      <c r="J27" s="26"/>
    </row>
    <row r="28" spans="2:24" x14ac:dyDescent="0.3">
      <c r="C28" s="14" t="s">
        <v>21</v>
      </c>
      <c r="D28" s="15" t="s">
        <v>191</v>
      </c>
      <c r="E28" s="42">
        <f>E$12/'Model homes'!E$86*'Model homes'!E102</f>
        <v>228.20851199999998</v>
      </c>
      <c r="F28" s="42">
        <f>F$12/'Model homes'!F$86*'Model homes'!F102</f>
        <v>228.20851199999998</v>
      </c>
      <c r="G28" s="42">
        <f>G$12/'Model homes'!G$86*'Model homes'!G102</f>
        <v>171.156384</v>
      </c>
      <c r="H28" s="42">
        <f>H$12/'Model homes'!H$86*'Model homes'!H102</f>
        <v>171.156384</v>
      </c>
      <c r="J28" s="17" t="s">
        <v>478</v>
      </c>
    </row>
    <row r="29" spans="2:24" x14ac:dyDescent="0.3">
      <c r="C29" s="14" t="s">
        <v>22</v>
      </c>
      <c r="D29" s="15" t="s">
        <v>191</v>
      </c>
      <c r="E29" s="42">
        <f>E$12/'Model homes'!E$86*'Model homes'!E103</f>
        <v>119.70169518322176</v>
      </c>
      <c r="F29" s="42">
        <f>F$12/'Model homes'!F$86*'Model homes'!F103</f>
        <v>106.35503242066534</v>
      </c>
      <c r="G29" s="42">
        <f>G$12/'Model homes'!G$86*'Model homes'!G103</f>
        <v>119.1246333527518</v>
      </c>
      <c r="H29" s="42">
        <f>H$12/'Model homes'!H$86*'Model homes'!H103</f>
        <v>110.68318073837042</v>
      </c>
      <c r="J29" s="202">
        <f>AVERAGE(E21:H29)</f>
        <v>393.07999645893432</v>
      </c>
    </row>
    <row r="30" spans="2:24" x14ac:dyDescent="0.3">
      <c r="C30" s="96"/>
      <c r="D30" s="84"/>
      <c r="E30" s="91"/>
      <c r="F30" s="91"/>
      <c r="G30" s="91"/>
      <c r="H30" s="91"/>
      <c r="V30" s="42"/>
      <c r="W30" s="99"/>
      <c r="X30" s="99"/>
    </row>
    <row r="31" spans="2:24" x14ac:dyDescent="0.3">
      <c r="C31" s="51" t="s">
        <v>515</v>
      </c>
      <c r="D31" s="84"/>
      <c r="E31" s="91"/>
      <c r="F31" s="91"/>
      <c r="G31" s="91"/>
      <c r="H31" s="91"/>
    </row>
    <row r="32" spans="2:24" x14ac:dyDescent="0.3">
      <c r="C32" s="20" t="s">
        <v>14</v>
      </c>
      <c r="D32" s="15" t="s">
        <v>299</v>
      </c>
      <c r="E32" s="42" t="e">
        <f>E21*'Model homes'!E127*10^-3</f>
        <v>#VALUE!</v>
      </c>
      <c r="F32" s="42" t="e">
        <f>F21*'Model homes'!F127*10^-3</f>
        <v>#VALUE!</v>
      </c>
      <c r="G32" s="42" t="e">
        <f>G21*'Model homes'!G127*10^-3</f>
        <v>#VALUE!</v>
      </c>
      <c r="H32" s="42" t="e">
        <f>H21*'Model homes'!H127*10^-3</f>
        <v>#VALUE!</v>
      </c>
      <c r="J32" s="26" t="s">
        <v>516</v>
      </c>
    </row>
    <row r="33" spans="3:11" x14ac:dyDescent="0.3">
      <c r="C33" s="14" t="s">
        <v>15</v>
      </c>
      <c r="D33" s="15" t="s">
        <v>299</v>
      </c>
      <c r="E33" s="42" t="e">
        <f>E22*'Model homes'!E131/100</f>
        <v>#VALUE!</v>
      </c>
      <c r="F33" s="42" t="e">
        <f>F22*'Model homes'!F131/100</f>
        <v>#VALUE!</v>
      </c>
      <c r="G33" s="42" t="e">
        <f>G22*'Model homes'!G131/100</f>
        <v>#VALUE!</v>
      </c>
      <c r="H33" s="42" t="e">
        <f>H22*'Model homes'!H131/100</f>
        <v>#VALUE!</v>
      </c>
      <c r="J33" s="26"/>
    </row>
    <row r="34" spans="3:11" x14ac:dyDescent="0.3">
      <c r="C34" s="15" t="s">
        <v>16</v>
      </c>
      <c r="D34" s="15" t="s">
        <v>299</v>
      </c>
      <c r="E34" s="42" t="e">
        <f>E23*'Model homes'!E133/100</f>
        <v>#VALUE!</v>
      </c>
      <c r="F34" s="42" t="e">
        <f>F23*'Model homes'!F133/100</f>
        <v>#VALUE!</v>
      </c>
      <c r="G34" s="42" t="e">
        <f>G23*'Model homes'!G133/100</f>
        <v>#VALUE!</v>
      </c>
      <c r="H34" s="42" t="e">
        <f>H23*'Model homes'!H133/100</f>
        <v>#VALUE!</v>
      </c>
      <c r="J34" s="26"/>
    </row>
    <row r="35" spans="3:11" x14ac:dyDescent="0.3">
      <c r="C35" s="15" t="s">
        <v>17</v>
      </c>
      <c r="D35" s="15" t="s">
        <v>299</v>
      </c>
      <c r="E35" s="42" t="e">
        <f>E24*'Model homes'!E135/100</f>
        <v>#VALUE!</v>
      </c>
      <c r="F35" s="42" t="e">
        <f>F24*'Model homes'!F135/100</f>
        <v>#VALUE!</v>
      </c>
      <c r="G35" s="42" t="e">
        <f>G24*'Model homes'!G135/100</f>
        <v>#VALUE!</v>
      </c>
      <c r="H35" s="42" t="e">
        <f>H24*'Model homes'!H135/100</f>
        <v>#VALUE!</v>
      </c>
      <c r="J35" s="26"/>
    </row>
    <row r="36" spans="3:11" x14ac:dyDescent="0.3">
      <c r="C36" s="15" t="s">
        <v>18</v>
      </c>
      <c r="D36" s="15" t="s">
        <v>299</v>
      </c>
      <c r="E36" s="42" t="e">
        <f>E25*'Model homes'!E137/100</f>
        <v>#VALUE!</v>
      </c>
      <c r="F36" s="42" t="e">
        <f>F25*'Model homes'!F137/100</f>
        <v>#VALUE!</v>
      </c>
      <c r="G36" s="42" t="e">
        <f>G25*'Model homes'!G137/100</f>
        <v>#VALUE!</v>
      </c>
      <c r="H36" s="42" t="e">
        <f>H25*'Model homes'!H137/100</f>
        <v>#VALUE!</v>
      </c>
      <c r="J36" s="26"/>
    </row>
    <row r="37" spans="3:11" x14ac:dyDescent="0.3">
      <c r="C37" s="15" t="s">
        <v>19</v>
      </c>
      <c r="D37" s="15" t="s">
        <v>299</v>
      </c>
      <c r="E37" s="42" t="e">
        <f>E26*'Model homes'!E139/100</f>
        <v>#VALUE!</v>
      </c>
      <c r="F37" s="42" t="e">
        <f>F26*'Model homes'!F139/100</f>
        <v>#VALUE!</v>
      </c>
      <c r="G37" s="42" t="e">
        <f>G26*'Model homes'!G139/100</f>
        <v>#VALUE!</v>
      </c>
      <c r="H37" s="42" t="e">
        <f>H26*'Model homes'!H139/100</f>
        <v>#VALUE!</v>
      </c>
      <c r="J37" s="26"/>
    </row>
    <row r="38" spans="3:11" x14ac:dyDescent="0.3">
      <c r="C38" s="14" t="s">
        <v>20</v>
      </c>
      <c r="D38" s="15" t="s">
        <v>299</v>
      </c>
      <c r="E38" s="42" t="e">
        <f>E27*'Model homes'!E140/100</f>
        <v>#VALUE!</v>
      </c>
      <c r="F38" s="42" t="e">
        <f>F27*'Model homes'!F140/100</f>
        <v>#VALUE!</v>
      </c>
      <c r="G38" s="42" t="e">
        <f>G27*'Model homes'!G140/100</f>
        <v>#VALUE!</v>
      </c>
      <c r="H38" s="42" t="e">
        <f>H27*'Model homes'!H140/100</f>
        <v>#VALUE!</v>
      </c>
      <c r="J38" s="26"/>
    </row>
    <row r="39" spans="3:11" x14ac:dyDescent="0.3">
      <c r="C39" s="14" t="s">
        <v>21</v>
      </c>
      <c r="D39" s="15" t="s">
        <v>299</v>
      </c>
      <c r="E39" s="42" t="e">
        <f>E28*'Model homes'!E141/100</f>
        <v>#VALUE!</v>
      </c>
      <c r="F39" s="42" t="e">
        <f>F28*'Model homes'!F141/100</f>
        <v>#VALUE!</v>
      </c>
      <c r="G39" s="42" t="e">
        <f>G28*'Model homes'!G141/100</f>
        <v>#VALUE!</v>
      </c>
      <c r="H39" s="42" t="e">
        <f>H28*'Model homes'!H141/100</f>
        <v>#VALUE!</v>
      </c>
      <c r="J39" s="26"/>
      <c r="K39" s="17" t="s">
        <v>478</v>
      </c>
    </row>
    <row r="40" spans="3:11" x14ac:dyDescent="0.3">
      <c r="C40" s="14" t="s">
        <v>22</v>
      </c>
      <c r="D40" s="15" t="s">
        <v>299</v>
      </c>
      <c r="E40" s="42" t="e">
        <f>E29*'Model homes'!E142/100</f>
        <v>#VALUE!</v>
      </c>
      <c r="F40" s="42" t="e">
        <f>F29*'Model homes'!F142/100</f>
        <v>#VALUE!</v>
      </c>
      <c r="G40" s="42" t="e">
        <f>G29*'Model homes'!G142/100</f>
        <v>#VALUE!</v>
      </c>
      <c r="H40" s="42" t="e">
        <f>H29*'Model homes'!H142/100</f>
        <v>#VALUE!</v>
      </c>
      <c r="J40" s="45" t="e">
        <f>ROUND(MIN(E32:H40),0)&amp;" - "&amp;ROUND(MAX(E32:H40),0)</f>
        <v>#VALUE!</v>
      </c>
      <c r="K40" s="142" t="e">
        <f>AVERAGE(E32:H40)</f>
        <v>#VALUE!</v>
      </c>
    </row>
    <row r="41" spans="3:11" x14ac:dyDescent="0.3">
      <c r="C41" s="20"/>
      <c r="D41" s="15"/>
      <c r="E41" s="42"/>
      <c r="F41" s="55"/>
      <c r="G41" s="42"/>
      <c r="H41" s="42"/>
      <c r="J41" s="26"/>
    </row>
    <row r="42" spans="3:11" x14ac:dyDescent="0.3">
      <c r="C42" s="51" t="s">
        <v>517</v>
      </c>
      <c r="D42" s="84"/>
      <c r="E42" s="91"/>
      <c r="F42" s="91"/>
      <c r="G42" s="91"/>
      <c r="H42" s="91"/>
      <c r="J42" s="51" t="s">
        <v>509</v>
      </c>
    </row>
    <row r="43" spans="3:11" x14ac:dyDescent="0.3">
      <c r="C43" s="20" t="s">
        <v>14</v>
      </c>
      <c r="D43" s="15" t="s">
        <v>299</v>
      </c>
      <c r="E43" s="55" t="e">
        <f>-PMT(E$13,E$14,E32*$J43)</f>
        <v>#VALUE!</v>
      </c>
      <c r="F43" s="55" t="e">
        <f t="shared" ref="F43:H43" si="1">-PMT(F$13,F$14,F32*$J43)</f>
        <v>#VALUE!</v>
      </c>
      <c r="G43" s="55" t="e">
        <f t="shared" si="1"/>
        <v>#VALUE!</v>
      </c>
      <c r="H43" s="55" t="e">
        <f t="shared" si="1"/>
        <v>#VALUE!</v>
      </c>
      <c r="J43" s="63">
        <f>(1-(((1+'Model homes'!$E159)/(1+E$13))^E$14))/(E$13-'Model homes'!$E159)</f>
        <v>2.8432103792103223</v>
      </c>
    </row>
    <row r="44" spans="3:11" x14ac:dyDescent="0.3">
      <c r="C44" s="14" t="s">
        <v>15</v>
      </c>
      <c r="D44" s="15" t="s">
        <v>299</v>
      </c>
      <c r="E44" s="55" t="e">
        <f t="shared" ref="E44:H51" si="2">-PMT(E$13,E$14,E33*$J44)</f>
        <v>#VALUE!</v>
      </c>
      <c r="F44" s="55" t="e">
        <f t="shared" si="2"/>
        <v>#VALUE!</v>
      </c>
      <c r="G44" s="55" t="e">
        <f t="shared" si="2"/>
        <v>#VALUE!</v>
      </c>
      <c r="H44" s="55" t="e">
        <f t="shared" si="2"/>
        <v>#VALUE!</v>
      </c>
      <c r="J44" s="63">
        <f>(1-(((1+'Model homes'!$E160)/(1+E$13))^E$14))/(E$13-'Model homes'!$E160)</f>
        <v>2.8294976103777958</v>
      </c>
    </row>
    <row r="45" spans="3:11" x14ac:dyDescent="0.3">
      <c r="C45" s="15" t="s">
        <v>16</v>
      </c>
      <c r="D45" s="15" t="s">
        <v>299</v>
      </c>
      <c r="E45" s="55" t="e">
        <f t="shared" si="2"/>
        <v>#VALUE!</v>
      </c>
      <c r="F45" s="55" t="e">
        <f t="shared" si="2"/>
        <v>#VALUE!</v>
      </c>
      <c r="G45" s="55" t="e">
        <f t="shared" si="2"/>
        <v>#VALUE!</v>
      </c>
      <c r="H45" s="55" t="e">
        <f t="shared" si="2"/>
        <v>#VALUE!</v>
      </c>
      <c r="J45" s="63">
        <f>(1-(((1+'Model homes'!$E161)/(1+E$13))^E$14))/(E$13-'Model homes'!$E161)</f>
        <v>2.8432103792103223</v>
      </c>
    </row>
    <row r="46" spans="3:11" x14ac:dyDescent="0.3">
      <c r="C46" s="15" t="s">
        <v>17</v>
      </c>
      <c r="D46" s="15" t="s">
        <v>299</v>
      </c>
      <c r="E46" s="55" t="e">
        <f t="shared" si="2"/>
        <v>#VALUE!</v>
      </c>
      <c r="F46" s="55" t="e">
        <f t="shared" si="2"/>
        <v>#VALUE!</v>
      </c>
      <c r="G46" s="55" t="e">
        <f t="shared" si="2"/>
        <v>#VALUE!</v>
      </c>
      <c r="H46" s="55" t="e">
        <f t="shared" si="2"/>
        <v>#VALUE!</v>
      </c>
      <c r="J46" s="63">
        <f>(1-(((1+'Model homes'!$E162)/(1+E$13))^E$14))/(E$13-'Model homes'!$E162)</f>
        <v>2.8432103792103223</v>
      </c>
    </row>
    <row r="47" spans="3:11" x14ac:dyDescent="0.3">
      <c r="C47" s="15" t="s">
        <v>18</v>
      </c>
      <c r="D47" s="15" t="s">
        <v>299</v>
      </c>
      <c r="E47" s="55" t="e">
        <f t="shared" si="2"/>
        <v>#VALUE!</v>
      </c>
      <c r="F47" s="55" t="e">
        <f t="shared" si="2"/>
        <v>#VALUE!</v>
      </c>
      <c r="G47" s="55" t="e">
        <f t="shared" si="2"/>
        <v>#VALUE!</v>
      </c>
      <c r="H47" s="55" t="e">
        <f t="shared" si="2"/>
        <v>#VALUE!</v>
      </c>
      <c r="J47" s="63">
        <f>(1-(((1+'Model homes'!$E163)/(1+E$13))^E$14))/(E$13-'Model homes'!$E163)</f>
        <v>2.8432103792103223</v>
      </c>
    </row>
    <row r="48" spans="3:11" x14ac:dyDescent="0.3">
      <c r="C48" s="15" t="s">
        <v>19</v>
      </c>
      <c r="D48" s="15" t="s">
        <v>299</v>
      </c>
      <c r="E48" s="55" t="e">
        <f t="shared" si="2"/>
        <v>#VALUE!</v>
      </c>
      <c r="F48" s="55" t="e">
        <f t="shared" si="2"/>
        <v>#VALUE!</v>
      </c>
      <c r="G48" s="55" t="e">
        <f t="shared" si="2"/>
        <v>#VALUE!</v>
      </c>
      <c r="H48" s="55" t="e">
        <f t="shared" si="2"/>
        <v>#VALUE!</v>
      </c>
      <c r="J48" s="63">
        <f>(1-(((1+'Model homes'!$E164)/(1+E$13))^E$14))/(E$13-'Model homes'!$E164)</f>
        <v>2.8432103792103223</v>
      </c>
    </row>
    <row r="49" spans="3:40" ht="15.95" customHeight="1" x14ac:dyDescent="0.3">
      <c r="C49" s="14" t="s">
        <v>20</v>
      </c>
      <c r="D49" s="15" t="s">
        <v>299</v>
      </c>
      <c r="E49" s="55" t="e">
        <f t="shared" si="2"/>
        <v>#VALUE!</v>
      </c>
      <c r="F49" s="55" t="e">
        <f t="shared" si="2"/>
        <v>#VALUE!</v>
      </c>
      <c r="G49" s="55" t="e">
        <f t="shared" si="2"/>
        <v>#VALUE!</v>
      </c>
      <c r="H49" s="55" t="e">
        <f t="shared" si="2"/>
        <v>#VALUE!</v>
      </c>
      <c r="J49" s="63">
        <f>(1-(((1+'Model homes'!$E165)/(1+E$13))^E$14))/(E$13-'Model homes'!$E165)</f>
        <v>2.8542125981452227</v>
      </c>
    </row>
    <row r="50" spans="3:40" ht="15.95" customHeight="1" x14ac:dyDescent="0.3">
      <c r="C50" s="14" t="s">
        <v>21</v>
      </c>
      <c r="D50" s="15" t="s">
        <v>299</v>
      </c>
      <c r="E50" s="55" t="e">
        <f t="shared" si="2"/>
        <v>#VALUE!</v>
      </c>
      <c r="F50" s="55" t="e">
        <f t="shared" si="2"/>
        <v>#VALUE!</v>
      </c>
      <c r="G50" s="55" t="e">
        <f t="shared" si="2"/>
        <v>#VALUE!</v>
      </c>
      <c r="H50" s="55" t="e">
        <f t="shared" si="2"/>
        <v>#VALUE!</v>
      </c>
      <c r="J50" s="63">
        <f>(1-(((1+'Model homes'!$E166)/(1+E$13))^E$14))/(E$13-'Model homes'!$E166)</f>
        <v>2.8432103792103223</v>
      </c>
    </row>
    <row r="51" spans="3:40" x14ac:dyDescent="0.3">
      <c r="C51" s="14" t="s">
        <v>22</v>
      </c>
      <c r="D51" s="15" t="s">
        <v>299</v>
      </c>
      <c r="E51" s="55" t="e">
        <f t="shared" si="2"/>
        <v>#VALUE!</v>
      </c>
      <c r="F51" s="55" t="e">
        <f t="shared" si="2"/>
        <v>#VALUE!</v>
      </c>
      <c r="G51" s="55" t="e">
        <f t="shared" si="2"/>
        <v>#VALUE!</v>
      </c>
      <c r="H51" s="55" t="e">
        <f t="shared" si="2"/>
        <v>#VALUE!</v>
      </c>
      <c r="J51" s="63">
        <f>(1-(((1+'Model homes'!$E167)/(1+E$13))^E$14))/(E$13-'Model homes'!$E167)</f>
        <v>2.8432103792103223</v>
      </c>
    </row>
    <row r="52" spans="3:40" x14ac:dyDescent="0.3">
      <c r="C52" s="20"/>
      <c r="D52" s="15"/>
      <c r="E52" s="42"/>
      <c r="F52" s="55"/>
      <c r="G52" s="42"/>
      <c r="H52" s="42"/>
      <c r="J52" s="26"/>
    </row>
    <row r="53" spans="3:40" x14ac:dyDescent="0.3">
      <c r="C53" s="51" t="s">
        <v>522</v>
      </c>
      <c r="D53" s="84"/>
      <c r="E53" s="90"/>
      <c r="F53" s="90"/>
      <c r="G53" s="90"/>
      <c r="H53" s="90"/>
      <c r="J53" s="51" t="s">
        <v>523</v>
      </c>
      <c r="R53" s="51" t="s">
        <v>524</v>
      </c>
      <c r="Z53" s="51" t="s">
        <v>525</v>
      </c>
      <c r="AH53" s="51" t="s">
        <v>526</v>
      </c>
    </row>
    <row r="54" spans="3:40" ht="15.95" customHeight="1" x14ac:dyDescent="0.3">
      <c r="C54" s="20" t="s">
        <v>14</v>
      </c>
      <c r="D54" s="84" t="s">
        <v>527</v>
      </c>
      <c r="E54" s="130" t="e">
        <f>E21*'Model homes'!$J110*10^-6</f>
        <v>#VALUE!</v>
      </c>
      <c r="F54" s="130" t="e">
        <f>F21*'Model homes'!$J110*10^-6</f>
        <v>#VALUE!</v>
      </c>
      <c r="G54" s="130" t="e">
        <f>G21*'Model homes'!$J110*10^-6</f>
        <v>#VALUE!</v>
      </c>
      <c r="H54" s="130" t="e">
        <f>H21*'Model homes'!$J110*10^-6</f>
        <v>#VALUE!</v>
      </c>
      <c r="J54" s="209" t="s">
        <v>14</v>
      </c>
      <c r="L54" s="207" t="s">
        <v>528</v>
      </c>
      <c r="M54" s="130" t="e">
        <f>'Model homes'!$E274*E21*10^-6</f>
        <v>#DIV/0!</v>
      </c>
      <c r="N54" s="130" t="e">
        <f>'Model homes'!$E274*F21*10^-6</f>
        <v>#DIV/0!</v>
      </c>
      <c r="O54" s="130" t="e">
        <f>'Model homes'!$E274*G21*10^-6</f>
        <v>#DIV/0!</v>
      </c>
      <c r="P54" s="130" t="e">
        <f>'Model homes'!$E274*H21*10^-6</f>
        <v>#DIV/0!</v>
      </c>
      <c r="R54" s="209" t="s">
        <v>14</v>
      </c>
      <c r="T54" s="207" t="s">
        <v>529</v>
      </c>
      <c r="U54" s="130" t="e">
        <f>'Model homes'!$F274*E21*10^-6</f>
        <v>#DIV/0!</v>
      </c>
      <c r="V54" s="130" t="e">
        <f>'Model homes'!$F274*F21*10^-6</f>
        <v>#DIV/0!</v>
      </c>
      <c r="W54" s="130" t="e">
        <f>'Model homes'!$F274*G21*10^-6</f>
        <v>#DIV/0!</v>
      </c>
      <c r="X54" s="130" t="e">
        <f>'Model homes'!$F274*H21*10^-6</f>
        <v>#DIV/0!</v>
      </c>
      <c r="Z54" s="209" t="s">
        <v>14</v>
      </c>
      <c r="AB54" s="207" t="s">
        <v>530</v>
      </c>
      <c r="AC54" s="130" t="e">
        <f>'Model homes'!$G274*E21*10^-6</f>
        <v>#DIV/0!</v>
      </c>
      <c r="AD54" s="130" t="e">
        <f>'Model homes'!$G274*F21*10^-6</f>
        <v>#DIV/0!</v>
      </c>
      <c r="AE54" s="130" t="e">
        <f>'Model homes'!$G274*G21*10^-6</f>
        <v>#DIV/0!</v>
      </c>
      <c r="AF54" s="130" t="e">
        <f>'Model homes'!$G274*H21*10^-6</f>
        <v>#DIV/0!</v>
      </c>
      <c r="AH54" s="209" t="s">
        <v>14</v>
      </c>
      <c r="AJ54" s="207" t="s">
        <v>531</v>
      </c>
      <c r="AK54" s="130" t="e">
        <f>'Model homes'!$H274*E21*10^-6</f>
        <v>#DIV/0!</v>
      </c>
      <c r="AL54" s="130" t="e">
        <f>'Model homes'!$H274*F21*10^-6</f>
        <v>#DIV/0!</v>
      </c>
      <c r="AM54" s="130" t="e">
        <f>'Model homes'!$H274*G21*10^-6</f>
        <v>#DIV/0!</v>
      </c>
      <c r="AN54" s="130" t="e">
        <f>'Model homes'!$H274*H21*10^-6</f>
        <v>#DIV/0!</v>
      </c>
    </row>
    <row r="55" spans="3:40" ht="15.95" customHeight="1" x14ac:dyDescent="0.3">
      <c r="C55" s="14" t="s">
        <v>15</v>
      </c>
      <c r="D55" s="84" t="s">
        <v>527</v>
      </c>
      <c r="E55" s="130">
        <f>E22*'Model homes'!$J111*10^-6</f>
        <v>0</v>
      </c>
      <c r="F55" s="130">
        <f>F22*'Model homes'!$J111*10^-6</f>
        <v>0</v>
      </c>
      <c r="G55" s="130">
        <f>G22*'Model homes'!$J111*10^-6</f>
        <v>0</v>
      </c>
      <c r="H55" s="130">
        <f>H22*'Model homes'!$J111*10^-6</f>
        <v>0</v>
      </c>
      <c r="J55" s="213" t="s">
        <v>15</v>
      </c>
      <c r="L55" s="207" t="s">
        <v>528</v>
      </c>
      <c r="M55" s="130">
        <f>'Model homes'!$E275*E22*10^-6</f>
        <v>1.0673136561230768E-5</v>
      </c>
      <c r="N55" s="130">
        <f>'Model homes'!$E275*F22*10^-6</f>
        <v>9.9107696640000001E-6</v>
      </c>
      <c r="O55" s="130">
        <f>'Model homes'!$E275*G22*10^-6</f>
        <v>1.159776094567164E-5</v>
      </c>
      <c r="P55" s="130">
        <f>'Model homes'!$E275*H22*10^-6</f>
        <v>1.1100714048E-5</v>
      </c>
      <c r="R55" s="213" t="s">
        <v>15</v>
      </c>
      <c r="T55" s="207" t="s">
        <v>529</v>
      </c>
      <c r="U55" s="130">
        <f>'Model homes'!$F275*E22*10^-6</f>
        <v>1.6543361669907688E-4</v>
      </c>
      <c r="V55" s="130">
        <f>'Model homes'!$F275*F22*10^-6</f>
        <v>1.5361692979199999E-4</v>
      </c>
      <c r="W55" s="130">
        <f>'Model homes'!$F275*G22*10^-6</f>
        <v>1.797652946579104E-4</v>
      </c>
      <c r="X55" s="130">
        <f>'Model homes'!$F275*H22*10^-6</f>
        <v>1.7206106774399999E-4</v>
      </c>
      <c r="Z55" s="213" t="s">
        <v>15</v>
      </c>
      <c r="AB55" s="207" t="s">
        <v>530</v>
      </c>
      <c r="AC55" s="130">
        <f>'Model homes'!$G275*E22*10^-6</f>
        <v>3.7355977964307691E-5</v>
      </c>
      <c r="AD55" s="130">
        <f>'Model homes'!$G275*F22*10^-6</f>
        <v>3.4687693823999998E-5</v>
      </c>
      <c r="AE55" s="130">
        <f>'Model homes'!$G275*G22*10^-6</f>
        <v>4.0592163309850737E-5</v>
      </c>
      <c r="AF55" s="130">
        <f>'Model homes'!$G275*H22*10^-6</f>
        <v>3.8852499167999998E-5</v>
      </c>
      <c r="AH55" s="213" t="s">
        <v>15</v>
      </c>
      <c r="AJ55" s="207" t="s">
        <v>531</v>
      </c>
      <c r="AK55" s="130">
        <f>'Model homes'!$H275*E22*10^-6</f>
        <v>5.3365682806153838E-6</v>
      </c>
      <c r="AL55" s="130">
        <f>'Model homes'!$H275*F22*10^-6</f>
        <v>4.9553848320000001E-6</v>
      </c>
      <c r="AM55" s="130">
        <f>'Model homes'!$H275*G22*10^-6</f>
        <v>5.7988804728358199E-6</v>
      </c>
      <c r="AN55" s="130">
        <f>'Model homes'!$H275*H22*10^-6</f>
        <v>5.5503570240000002E-6</v>
      </c>
    </row>
    <row r="56" spans="3:40" ht="15.95" customHeight="1" x14ac:dyDescent="0.3">
      <c r="C56" s="15" t="s">
        <v>16</v>
      </c>
      <c r="D56" s="84" t="s">
        <v>527</v>
      </c>
      <c r="E56" s="130">
        <f>E23*'Model homes'!$J112*10^-6</f>
        <v>0</v>
      </c>
      <c r="F56" s="130">
        <f>F23*'Model homes'!$J112*10^-6</f>
        <v>0</v>
      </c>
      <c r="G56" s="130">
        <f>G23*'Model homes'!$J112*10^-6</f>
        <v>0</v>
      </c>
      <c r="H56" s="130">
        <f>H23*'Model homes'!$J112*10^-6</f>
        <v>0</v>
      </c>
      <c r="J56" s="210" t="s">
        <v>16</v>
      </c>
      <c r="L56" s="207" t="s">
        <v>528</v>
      </c>
      <c r="M56" s="130">
        <f>'Model homes'!$E276*E23*10^-6</f>
        <v>8.6719234559999978E-6</v>
      </c>
      <c r="N56" s="130">
        <f>'Model homes'!$E276*F23*10^-6</f>
        <v>8.2589747199999998E-6</v>
      </c>
      <c r="O56" s="130">
        <f>'Model homes'!$E276*G23*10^-6</f>
        <v>9.4762193092682931E-6</v>
      </c>
      <c r="P56" s="130">
        <f>'Model homes'!$E276*H23*10^-6</f>
        <v>9.2505950399999998E-6</v>
      </c>
      <c r="R56" s="210" t="s">
        <v>16</v>
      </c>
      <c r="T56" s="207" t="s">
        <v>529</v>
      </c>
      <c r="U56" s="130">
        <f>'Model homes'!$F276*E23*10^-6</f>
        <v>1.3441481356799996E-4</v>
      </c>
      <c r="V56" s="130">
        <f>'Model homes'!$F276*F23*10^-6</f>
        <v>1.2801410816E-4</v>
      </c>
      <c r="W56" s="130">
        <f>'Model homes'!$F276*G23*10^-6</f>
        <v>1.4688139929365854E-4</v>
      </c>
      <c r="X56" s="130">
        <f>'Model homes'!$F276*H23*10^-6</f>
        <v>1.4338422312E-4</v>
      </c>
      <c r="Z56" s="210" t="s">
        <v>16</v>
      </c>
      <c r="AB56" s="207" t="s">
        <v>530</v>
      </c>
      <c r="AC56" s="130">
        <f>'Model homes'!$G276*E23*10^-6</f>
        <v>3.0351732095999994E-5</v>
      </c>
      <c r="AD56" s="130">
        <f>'Model homes'!$G276*F23*10^-6</f>
        <v>2.8906411520000003E-5</v>
      </c>
      <c r="AE56" s="130">
        <f>'Model homes'!$G276*G23*10^-6</f>
        <v>3.316676758243903E-5</v>
      </c>
      <c r="AF56" s="130">
        <f>'Model homes'!$G276*H23*10^-6</f>
        <v>3.2377082640000005E-5</v>
      </c>
      <c r="AH56" s="210" t="s">
        <v>16</v>
      </c>
      <c r="AJ56" s="207" t="s">
        <v>531</v>
      </c>
      <c r="AK56" s="130">
        <f>'Model homes'!$H276*E23*10^-6</f>
        <v>4.3359617279999989E-6</v>
      </c>
      <c r="AL56" s="130">
        <f>'Model homes'!$H276*F23*10^-6</f>
        <v>4.1294873599999999E-6</v>
      </c>
      <c r="AM56" s="130">
        <f>'Model homes'!$H276*G23*10^-6</f>
        <v>4.7381096546341465E-6</v>
      </c>
      <c r="AN56" s="130">
        <f>'Model homes'!$H276*H23*10^-6</f>
        <v>4.6252975199999999E-6</v>
      </c>
    </row>
    <row r="57" spans="3:40" ht="15.95" customHeight="1" x14ac:dyDescent="0.3">
      <c r="C57" s="15" t="s">
        <v>17</v>
      </c>
      <c r="D57" s="84" t="s">
        <v>527</v>
      </c>
      <c r="E57" s="130">
        <f>E24*'Model homes'!$J113*10^-6</f>
        <v>0.19980111642623996</v>
      </c>
      <c r="F57" s="130">
        <f>F24*'Model homes'!$J113*10^-6</f>
        <v>0.18552960811007999</v>
      </c>
      <c r="G57" s="130">
        <f>G24*'Model homes'!$J113*10^-6</f>
        <v>0.22379039520767996</v>
      </c>
      <c r="H57" s="130">
        <f>H24*'Model homes'!$J113*10^-6</f>
        <v>0.20780536697856</v>
      </c>
      <c r="J57" s="210" t="s">
        <v>17</v>
      </c>
      <c r="L57" s="207" t="s">
        <v>528</v>
      </c>
      <c r="M57" s="130">
        <f>'Model homes'!$E277*E24*10^-6</f>
        <v>1.0139479733169229E-4</v>
      </c>
      <c r="N57" s="130">
        <f>'Model homes'!$E277*F24*10^-6</f>
        <v>9.4152311807999995E-5</v>
      </c>
      <c r="O57" s="130">
        <f>'Model homes'!$E277*G24*10^-6</f>
        <v>1.1356884372184613E-4</v>
      </c>
      <c r="P57" s="130">
        <f>'Model homes'!$E277*H24*10^-6</f>
        <v>1.0545678345599999E-4</v>
      </c>
      <c r="R57" s="210" t="s">
        <v>17</v>
      </c>
      <c r="T57" s="207" t="s">
        <v>529</v>
      </c>
      <c r="U57" s="130">
        <f>'Model homes'!$F277*E24*10^-6</f>
        <v>1.4942391185723076E-4</v>
      </c>
      <c r="V57" s="130">
        <f>'Model homes'!$F277*F24*10^-6</f>
        <v>1.3875077529599999E-4</v>
      </c>
      <c r="W57" s="130">
        <f>'Model homes'!$F277*G24*10^-6</f>
        <v>1.6736461180061536E-4</v>
      </c>
      <c r="X57" s="130">
        <f>'Model homes'!$F277*H24*10^-6</f>
        <v>1.5540999667199999E-4</v>
      </c>
      <c r="Z57" s="210" t="s">
        <v>17</v>
      </c>
      <c r="AB57" s="207" t="s">
        <v>530</v>
      </c>
      <c r="AC57" s="130">
        <f>'Model homes'!$G277*E24*10^-6</f>
        <v>5.3365682806153838E-6</v>
      </c>
      <c r="AD57" s="130">
        <f>'Model homes'!$G277*F24*10^-6</f>
        <v>4.9553848320000001E-6</v>
      </c>
      <c r="AE57" s="130">
        <f>'Model homes'!$G277*G24*10^-6</f>
        <v>5.9773075643076918E-6</v>
      </c>
      <c r="AF57" s="130">
        <f>'Model homes'!$G277*H24*10^-6</f>
        <v>5.5503570240000002E-6</v>
      </c>
      <c r="AH57" s="210" t="s">
        <v>17</v>
      </c>
      <c r="AJ57" s="207" t="s">
        <v>531</v>
      </c>
      <c r="AK57" s="130">
        <f>'Model homes'!$H277*E24*10^-6</f>
        <v>5.3365682806153838E-6</v>
      </c>
      <c r="AL57" s="130">
        <f>'Model homes'!$H277*F24*10^-6</f>
        <v>4.9553848320000001E-6</v>
      </c>
      <c r="AM57" s="130">
        <f>'Model homes'!$H277*G24*10^-6</f>
        <v>5.9773075643076918E-6</v>
      </c>
      <c r="AN57" s="130">
        <f>'Model homes'!$H277*H24*10^-6</f>
        <v>5.5503570240000002E-6</v>
      </c>
    </row>
    <row r="58" spans="3:40" ht="15.95" customHeight="1" x14ac:dyDescent="0.3">
      <c r="C58" s="15" t="s">
        <v>18</v>
      </c>
      <c r="D58" s="84" t="s">
        <v>527</v>
      </c>
      <c r="E58" s="130">
        <f>E25*'Model homes'!$J114*10^-6</f>
        <v>9.9900558213119967E-2</v>
      </c>
      <c r="F58" s="130">
        <f>F25*'Model homes'!$J114*10^-6</f>
        <v>9.4024054788818812E-2</v>
      </c>
      <c r="G58" s="130">
        <f>G25*'Model homes'!$J114*10^-6</f>
        <v>0.11189519760383999</v>
      </c>
      <c r="H58" s="130">
        <f>H25*'Model homes'!$J114*10^-6</f>
        <v>0.10531312715655529</v>
      </c>
      <c r="J58" s="210" t="s">
        <v>18</v>
      </c>
      <c r="L58" s="207" t="s">
        <v>528</v>
      </c>
      <c r="M58" s="130">
        <f>'Model homes'!$E278*E25*10^-6</f>
        <v>7.804731110399999E-5</v>
      </c>
      <c r="N58" s="130">
        <f>'Model homes'!$E278*F25*10^-6</f>
        <v>7.3456292803764697E-5</v>
      </c>
      <c r="O58" s="130">
        <f>'Model homes'!$E278*G25*10^-6</f>
        <v>8.7418123127999992E-5</v>
      </c>
      <c r="P58" s="130">
        <f>'Model homes'!$E278*H25*10^-6</f>
        <v>8.227588059105882E-5</v>
      </c>
      <c r="R58" s="210" t="s">
        <v>18</v>
      </c>
      <c r="T58" s="207" t="s">
        <v>529</v>
      </c>
      <c r="U58" s="130">
        <f>'Model homes'!$F278*E25*10^-6</f>
        <v>3.0351732095999995E-4</v>
      </c>
      <c r="V58" s="130">
        <f>'Model homes'!$F278*F25*10^-6</f>
        <v>2.856633609035293E-4</v>
      </c>
      <c r="W58" s="130">
        <f>'Model homes'!$F278*G25*10^-6</f>
        <v>3.3995936771999999E-4</v>
      </c>
      <c r="X58" s="130">
        <f>'Model homes'!$F278*H25*10^-6</f>
        <v>3.1996175785411763E-4</v>
      </c>
      <c r="Z58" s="210" t="s">
        <v>18</v>
      </c>
      <c r="AB58" s="207" t="s">
        <v>530</v>
      </c>
      <c r="AC58" s="130">
        <f>'Model homes'!$G278*E25*10^-6</f>
        <v>4.3359617279999989E-6</v>
      </c>
      <c r="AD58" s="130">
        <f>'Model homes'!$G278*F25*10^-6</f>
        <v>4.0809051557647051E-6</v>
      </c>
      <c r="AE58" s="130">
        <f>'Model homes'!$G278*G25*10^-6</f>
        <v>4.8565623959999998E-6</v>
      </c>
      <c r="AF58" s="130">
        <f>'Model homes'!$G278*H25*10^-6</f>
        <v>4.5708822550588242E-6</v>
      </c>
      <c r="AH58" s="210" t="s">
        <v>18</v>
      </c>
      <c r="AJ58" s="207" t="s">
        <v>531</v>
      </c>
      <c r="AK58" s="130">
        <f>'Model homes'!$H278*E25*10^-6</f>
        <v>4.3359617279999989E-6</v>
      </c>
      <c r="AL58" s="130">
        <f>'Model homes'!$H278*F25*10^-6</f>
        <v>4.0809051557647051E-6</v>
      </c>
      <c r="AM58" s="130">
        <f>'Model homes'!$H278*G25*10^-6</f>
        <v>4.8565623959999998E-6</v>
      </c>
      <c r="AN58" s="130">
        <f>'Model homes'!$H278*H25*10^-6</f>
        <v>4.5708822550588242E-6</v>
      </c>
    </row>
    <row r="59" spans="3:40" ht="15.95" customHeight="1" x14ac:dyDescent="0.3">
      <c r="C59" s="15" t="s">
        <v>19</v>
      </c>
      <c r="D59" s="84" t="s">
        <v>527</v>
      </c>
      <c r="E59" s="130">
        <f>E26*'Model homes'!$J115*10^-6</f>
        <v>0.12175380532223996</v>
      </c>
      <c r="F59" s="130">
        <f>F26*'Model homes'!$J115*10^-6</f>
        <v>0.11325935378813022</v>
      </c>
      <c r="G59" s="130">
        <f>G26*'Model homes'!$J115*10^-6</f>
        <v>0.13637227207968</v>
      </c>
      <c r="H59" s="130">
        <f>H26*'Model homes'!$J115*10^-6</f>
        <v>0.12685792751598141</v>
      </c>
      <c r="J59" s="210" t="s">
        <v>19</v>
      </c>
      <c r="L59" s="207" t="s">
        <v>528</v>
      </c>
      <c r="M59" s="130">
        <f>'Model homes'!$E279*E26*10^-6</f>
        <v>7.804731110399999E-5</v>
      </c>
      <c r="N59" s="130">
        <f>'Model homes'!$E279*F26*10^-6</f>
        <v>7.2602149864186037E-5</v>
      </c>
      <c r="O59" s="130">
        <f>'Model homes'!$E279*G26*10^-6</f>
        <v>8.7418123127999992E-5</v>
      </c>
      <c r="P59" s="130">
        <f>'Model homes'!$E279*H26*10^-6</f>
        <v>8.1319184305116279E-5</v>
      </c>
      <c r="R59" s="210" t="s">
        <v>19</v>
      </c>
      <c r="T59" s="207" t="s">
        <v>529</v>
      </c>
      <c r="U59" s="130">
        <f>'Model homes'!$F279*E26*10^-6</f>
        <v>3.0351732095999995E-4</v>
      </c>
      <c r="V59" s="130">
        <f>'Model homes'!$F279*F26*10^-6</f>
        <v>2.8234169391627901E-4</v>
      </c>
      <c r="W59" s="130">
        <f>'Model homes'!$F279*G26*10^-6</f>
        <v>3.3995936771999999E-4</v>
      </c>
      <c r="X59" s="130">
        <f>'Model homes'!$F279*H26*10^-6</f>
        <v>3.1624127229767441E-4</v>
      </c>
      <c r="Z59" s="210" t="s">
        <v>19</v>
      </c>
      <c r="AB59" s="207" t="s">
        <v>530</v>
      </c>
      <c r="AC59" s="130">
        <f>'Model homes'!$G279*E26*10^-6</f>
        <v>4.3359617279999989E-6</v>
      </c>
      <c r="AD59" s="130">
        <f>'Model homes'!$G279*F26*10^-6</f>
        <v>4.033452770232558E-6</v>
      </c>
      <c r="AE59" s="130">
        <f>'Model homes'!$G279*G26*10^-6</f>
        <v>4.8565623959999998E-6</v>
      </c>
      <c r="AF59" s="130">
        <f>'Model homes'!$G279*H26*10^-6</f>
        <v>4.5177324613953491E-6</v>
      </c>
      <c r="AH59" s="210" t="s">
        <v>19</v>
      </c>
      <c r="AJ59" s="207" t="s">
        <v>531</v>
      </c>
      <c r="AK59" s="130">
        <f>'Model homes'!$H279*E26*10^-6</f>
        <v>4.3359617279999989E-6</v>
      </c>
      <c r="AL59" s="130">
        <f>'Model homes'!$H279*F26*10^-6</f>
        <v>4.033452770232558E-6</v>
      </c>
      <c r="AM59" s="130">
        <f>'Model homes'!$H279*G26*10^-6</f>
        <v>4.8565623959999998E-6</v>
      </c>
      <c r="AN59" s="130">
        <f>'Model homes'!$H279*H26*10^-6</f>
        <v>4.5177324613953491E-6</v>
      </c>
    </row>
    <row r="60" spans="3:40" ht="15.95" customHeight="1" x14ac:dyDescent="0.3">
      <c r="C60" s="14" t="s">
        <v>20</v>
      </c>
      <c r="D60" s="84" t="s">
        <v>527</v>
      </c>
      <c r="E60" s="130">
        <f>E27*'Model homes'!$J116*10^-6</f>
        <v>8.1683397597786339E-2</v>
      </c>
      <c r="F60" s="130">
        <f>F27*'Model homes'!$J116*10^-6</f>
        <v>7.9805618342664822E-2</v>
      </c>
      <c r="G60" s="130">
        <f>G27*'Model homes'!$J116*10^-6</f>
        <v>8.9387542913412402E-2</v>
      </c>
      <c r="H60" s="130">
        <f>H27*'Model homes'!$J116*10^-6</f>
        <v>8.9387542913412402E-2</v>
      </c>
      <c r="J60" s="213" t="s">
        <v>20</v>
      </c>
      <c r="L60" s="207" t="s">
        <v>528</v>
      </c>
      <c r="M60" s="130">
        <f>'Model homes'!$E280*E27*10^-6</f>
        <v>0</v>
      </c>
      <c r="N60" s="130">
        <f>'Model homes'!$E280*F27*10^-6</f>
        <v>0</v>
      </c>
      <c r="O60" s="130">
        <f>'Model homes'!$E280*G27*10^-6</f>
        <v>0</v>
      </c>
      <c r="P60" s="130">
        <f>'Model homes'!$E280*H27*10^-6</f>
        <v>0</v>
      </c>
      <c r="R60" s="213" t="s">
        <v>20</v>
      </c>
      <c r="T60" s="207" t="s">
        <v>529</v>
      </c>
      <c r="U60" s="130">
        <f>'Model homes'!$F280*E27*10^-6</f>
        <v>5.3051767024941165E-5</v>
      </c>
      <c r="V60" s="130">
        <f>'Model homes'!$F280*F27*10^-6</f>
        <v>5.1832186173793092E-5</v>
      </c>
      <c r="W60" s="130">
        <f>'Model homes'!$F280*G27*10^-6</f>
        <v>5.8055458526896538E-5</v>
      </c>
      <c r="X60" s="130">
        <f>'Model homes'!$F280*H27*10^-6</f>
        <v>5.8055458526896538E-5</v>
      </c>
      <c r="Z60" s="213" t="s">
        <v>20</v>
      </c>
      <c r="AB60" s="207" t="s">
        <v>530</v>
      </c>
      <c r="AC60" s="130">
        <f>'Model homes'!$G280*E27*10^-6</f>
        <v>0</v>
      </c>
      <c r="AD60" s="130">
        <f>'Model homes'!$G280*F27*10^-6</f>
        <v>0</v>
      </c>
      <c r="AE60" s="130">
        <f>'Model homes'!$G280*G27*10^-6</f>
        <v>0</v>
      </c>
      <c r="AF60" s="130">
        <f>'Model homes'!$G280*H27*10^-6</f>
        <v>0</v>
      </c>
      <c r="AH60" s="213" t="s">
        <v>20</v>
      </c>
      <c r="AJ60" s="207" t="s">
        <v>531</v>
      </c>
      <c r="AK60" s="130">
        <f>'Model homes'!$H280*E27*10^-6</f>
        <v>0</v>
      </c>
      <c r="AL60" s="130">
        <f>'Model homes'!$H280*F27*10^-6</f>
        <v>0</v>
      </c>
      <c r="AM60" s="130">
        <f>'Model homes'!$H280*G27*10^-6</f>
        <v>0</v>
      </c>
      <c r="AN60" s="130">
        <f>'Model homes'!$H280*H27*10^-6</f>
        <v>0</v>
      </c>
    </row>
    <row r="61" spans="3:40" ht="15.95" customHeight="1" x14ac:dyDescent="0.3">
      <c r="C61" s="14" t="s">
        <v>21</v>
      </c>
      <c r="D61" s="84" t="s">
        <v>527</v>
      </c>
      <c r="E61" s="130" t="e">
        <f>E28*'Model homes'!$J117*10^-6</f>
        <v>#N/A</v>
      </c>
      <c r="F61" s="130" t="e">
        <f>F28*'Model homes'!$J117*10^-6</f>
        <v>#N/A</v>
      </c>
      <c r="G61" s="130" t="e">
        <f>G28*'Model homes'!$J117*10^-6</f>
        <v>#N/A</v>
      </c>
      <c r="H61" s="130" t="e">
        <f>H28*'Model homes'!$J117*10^-6</f>
        <v>#N/A</v>
      </c>
      <c r="J61" s="213" t="s">
        <v>21</v>
      </c>
      <c r="L61" s="207" t="s">
        <v>528</v>
      </c>
      <c r="M61" s="130" t="e">
        <f>'Model homes'!$E281*E28*10^-6</f>
        <v>#DIV/0!</v>
      </c>
      <c r="N61" s="130" t="e">
        <f>'Model homes'!$E281*F28*10^-6</f>
        <v>#DIV/0!</v>
      </c>
      <c r="O61" s="130" t="e">
        <f>'Model homes'!$E281*G28*10^-6</f>
        <v>#DIV/0!</v>
      </c>
      <c r="P61" s="130" t="e">
        <f>'Model homes'!$E281*H28*10^-6</f>
        <v>#DIV/0!</v>
      </c>
      <c r="R61" s="213" t="s">
        <v>21</v>
      </c>
      <c r="T61" s="207" t="s">
        <v>529</v>
      </c>
      <c r="U61" s="130" t="e">
        <f>'Model homes'!$F281*E28*10^-6</f>
        <v>#DIV/0!</v>
      </c>
      <c r="V61" s="130" t="e">
        <f>'Model homes'!$F281*F28*10^-6</f>
        <v>#DIV/0!</v>
      </c>
      <c r="W61" s="130" t="e">
        <f>'Model homes'!$F281*G28*10^-6</f>
        <v>#DIV/0!</v>
      </c>
      <c r="X61" s="130" t="e">
        <f>'Model homes'!$F281*H28*10^-6</f>
        <v>#DIV/0!</v>
      </c>
      <c r="Z61" s="213" t="s">
        <v>21</v>
      </c>
      <c r="AB61" s="207" t="s">
        <v>530</v>
      </c>
      <c r="AC61" s="130" t="e">
        <f>'Model homes'!$G281*E28*10^-6</f>
        <v>#DIV/0!</v>
      </c>
      <c r="AD61" s="130" t="e">
        <f>'Model homes'!$G281*F28*10^-6</f>
        <v>#DIV/0!</v>
      </c>
      <c r="AE61" s="130" t="e">
        <f>'Model homes'!$G281*G28*10^-6</f>
        <v>#DIV/0!</v>
      </c>
      <c r="AF61" s="130" t="e">
        <f>'Model homes'!$G281*H28*10^-6</f>
        <v>#DIV/0!</v>
      </c>
      <c r="AH61" s="213" t="s">
        <v>21</v>
      </c>
      <c r="AJ61" s="207" t="s">
        <v>531</v>
      </c>
      <c r="AK61" s="130" t="e">
        <f>'Model homes'!$H281*E28*10^-6</f>
        <v>#DIV/0!</v>
      </c>
      <c r="AL61" s="130" t="e">
        <f>'Model homes'!$H281*F28*10^-6</f>
        <v>#DIV/0!</v>
      </c>
      <c r="AM61" s="130" t="e">
        <f>'Model homes'!$H281*G28*10^-6</f>
        <v>#DIV/0!</v>
      </c>
      <c r="AN61" s="130" t="e">
        <f>'Model homes'!$H281*H28*10^-6</f>
        <v>#DIV/0!</v>
      </c>
    </row>
    <row r="62" spans="3:40" ht="15.95" customHeight="1" x14ac:dyDescent="0.3">
      <c r="C62" s="14" t="s">
        <v>22</v>
      </c>
      <c r="D62" s="84" t="s">
        <v>527</v>
      </c>
      <c r="E62" s="130" t="e">
        <f>E29*'Model homes'!$J118*10^-6</f>
        <v>#N/A</v>
      </c>
      <c r="F62" s="130" t="e">
        <f>F29*'Model homes'!$J118*10^-6</f>
        <v>#N/A</v>
      </c>
      <c r="G62" s="130" t="e">
        <f>G29*'Model homes'!$J118*10^-6</f>
        <v>#N/A</v>
      </c>
      <c r="H62" s="130" t="e">
        <f>H29*'Model homes'!$J118*10^-6</f>
        <v>#N/A</v>
      </c>
      <c r="J62" s="213" t="s">
        <v>22</v>
      </c>
      <c r="L62" s="207" t="s">
        <v>528</v>
      </c>
      <c r="M62" s="130" t="e">
        <f>'Model homes'!$E282*E29*10^-6</f>
        <v>#DIV/0!</v>
      </c>
      <c r="N62" s="130" t="e">
        <f>'Model homes'!$E282*F29*10^-6</f>
        <v>#DIV/0!</v>
      </c>
      <c r="O62" s="130" t="e">
        <f>'Model homes'!$E282*G29*10^-6</f>
        <v>#DIV/0!</v>
      </c>
      <c r="P62" s="130" t="e">
        <f>'Model homes'!$E282*H29*10^-6</f>
        <v>#DIV/0!</v>
      </c>
      <c r="R62" s="213" t="s">
        <v>22</v>
      </c>
      <c r="T62" s="207" t="s">
        <v>529</v>
      </c>
      <c r="U62" s="130" t="e">
        <f>'Model homes'!$F282*E29*10^-6</f>
        <v>#DIV/0!</v>
      </c>
      <c r="V62" s="130" t="e">
        <f>'Model homes'!$F282*F29*10^-6</f>
        <v>#DIV/0!</v>
      </c>
      <c r="W62" s="130" t="e">
        <f>'Model homes'!$F282*G29*10^-6</f>
        <v>#DIV/0!</v>
      </c>
      <c r="X62" s="130" t="e">
        <f>'Model homes'!$F282*H29*10^-6</f>
        <v>#DIV/0!</v>
      </c>
      <c r="Z62" s="213" t="s">
        <v>22</v>
      </c>
      <c r="AB62" s="207" t="s">
        <v>530</v>
      </c>
      <c r="AC62" s="130" t="e">
        <f>'Model homes'!$G282*E29*10^-6</f>
        <v>#DIV/0!</v>
      </c>
      <c r="AD62" s="130" t="e">
        <f>'Model homes'!$G282*F29*10^-6</f>
        <v>#DIV/0!</v>
      </c>
      <c r="AE62" s="130" t="e">
        <f>'Model homes'!$G282*G29*10^-6</f>
        <v>#DIV/0!</v>
      </c>
      <c r="AF62" s="130" t="e">
        <f>'Model homes'!$G282*H29*10^-6</f>
        <v>#DIV/0!</v>
      </c>
      <c r="AH62" s="213" t="s">
        <v>22</v>
      </c>
      <c r="AJ62" s="207" t="s">
        <v>531</v>
      </c>
      <c r="AK62" s="130" t="e">
        <f>'Model homes'!$H282*E29*10^-6</f>
        <v>#DIV/0!</v>
      </c>
      <c r="AL62" s="130" t="e">
        <f>'Model homes'!$H282*F29*10^-6</f>
        <v>#DIV/0!</v>
      </c>
      <c r="AM62" s="130" t="e">
        <f>'Model homes'!$H282*G29*10^-6</f>
        <v>#DIV/0!</v>
      </c>
      <c r="AN62" s="130" t="e">
        <f>'Model homes'!$H282*H29*10^-6</f>
        <v>#DIV/0!</v>
      </c>
    </row>
    <row r="63" spans="3:40" x14ac:dyDescent="0.3">
      <c r="J63" s="26"/>
      <c r="L63" s="207"/>
      <c r="R63" s="26"/>
      <c r="T63" s="207"/>
      <c r="Z63" s="26"/>
      <c r="AB63" s="207"/>
      <c r="AH63" s="26"/>
      <c r="AJ63" s="207"/>
    </row>
    <row r="64" spans="3:40" x14ac:dyDescent="0.3">
      <c r="C64" s="51" t="s">
        <v>313</v>
      </c>
      <c r="E64" s="106"/>
      <c r="J64" s="51" t="s">
        <v>532</v>
      </c>
      <c r="R64" s="51" t="s">
        <v>533</v>
      </c>
      <c r="Z64" s="51" t="s">
        <v>534</v>
      </c>
      <c r="AH64" s="51" t="s">
        <v>535</v>
      </c>
    </row>
    <row r="65" spans="3:40" x14ac:dyDescent="0.3">
      <c r="C65" s="20" t="s">
        <v>14</v>
      </c>
      <c r="D65" s="84" t="s">
        <v>536</v>
      </c>
      <c r="E65" s="42" t="e">
        <f>LOOKUP(E$14,'Model homes'!$C$203:$C$227,'Model homes'!$F$203:$F$227)*E54</f>
        <v>#VALUE!</v>
      </c>
      <c r="F65" s="42" t="e">
        <f>LOOKUP(F$14,'Model homes'!$C$203:$C$227,'Model homes'!$F$203:$F$227)*F54</f>
        <v>#VALUE!</v>
      </c>
      <c r="G65" s="42" t="e">
        <f>LOOKUP(G$14,'Model homes'!$C$203:$C$227,'Model homes'!$F$203:$F$227)*G54</f>
        <v>#VALUE!</v>
      </c>
      <c r="H65" s="42" t="e">
        <f>LOOKUP(H$14,'Model homes'!$C$203:$C$227,'Model homes'!$F$203:$F$227)*H54</f>
        <v>#VALUE!</v>
      </c>
      <c r="J65" s="209" t="s">
        <v>14</v>
      </c>
      <c r="L65" s="207" t="s">
        <v>536</v>
      </c>
      <c r="M65" s="159" t="e">
        <f>LOOKUP(E$14,'Model homes'!$C$351:$C$375,'Model homes'!$E$351:$E$375)*M54</f>
        <v>#DIV/0!</v>
      </c>
      <c r="N65" s="159" t="e">
        <f>LOOKUP(F$14,'Model homes'!$C$351:$C$375,'Model homes'!$E$351:$E$375)*N54</f>
        <v>#DIV/0!</v>
      </c>
      <c r="O65" s="159" t="e">
        <f>LOOKUP(G$14,'Model homes'!$C$351:$C$375,'Model homes'!$E$351:$E$375)*O54</f>
        <v>#DIV/0!</v>
      </c>
      <c r="P65" s="159" t="e">
        <f>LOOKUP(H$14,'Model homes'!$C$351:$C$375,'Model homes'!$E$351:$E$375)*P54</f>
        <v>#DIV/0!</v>
      </c>
      <c r="R65" s="209" t="s">
        <v>14</v>
      </c>
      <c r="T65" s="207" t="s">
        <v>536</v>
      </c>
      <c r="U65" s="159" t="e">
        <f>LOOKUP(E$14,'Model homes'!$C$351:$C$375,'Model homes'!$F$351:$F$375)*U54</f>
        <v>#DIV/0!</v>
      </c>
      <c r="V65" s="159" t="e">
        <f>LOOKUP(F$14,'Model homes'!$C$351:$C$375,'Model homes'!$F$351:$F$375)*V54</f>
        <v>#DIV/0!</v>
      </c>
      <c r="W65" s="159" t="e">
        <f>LOOKUP(G$14,'Model homes'!$C$351:$C$375,'Model homes'!$F$351:$F$375)*W54</f>
        <v>#DIV/0!</v>
      </c>
      <c r="X65" s="159" t="e">
        <f>LOOKUP(H$14,'Model homes'!$C$351:$C$375,'Model homes'!$F$351:$F$375)*X54</f>
        <v>#DIV/0!</v>
      </c>
      <c r="Z65" s="209" t="s">
        <v>14</v>
      </c>
      <c r="AB65" s="207" t="s">
        <v>536</v>
      </c>
      <c r="AC65" s="159" t="e">
        <f>LOOKUP(E$14,'Model homes'!$C$351:$C$375,'Model homes'!$G$351:$G$375)*AC54</f>
        <v>#DIV/0!</v>
      </c>
      <c r="AD65" s="159" t="e">
        <f>LOOKUP(F$14,'Model homes'!$C$351:$C$375,'Model homes'!$G$351:$G$375)*AD54</f>
        <v>#DIV/0!</v>
      </c>
      <c r="AE65" s="159" t="e">
        <f>LOOKUP(G$14,'Model homes'!$C$351:$C$375,'Model homes'!$G$351:$G$375)*AE54</f>
        <v>#DIV/0!</v>
      </c>
      <c r="AF65" s="159" t="e">
        <f>LOOKUP(H$14,'Model homes'!$C$351:$C$375,'Model homes'!$G$351:$G$375)*AF54</f>
        <v>#DIV/0!</v>
      </c>
      <c r="AH65" s="209" t="s">
        <v>14</v>
      </c>
      <c r="AJ65" s="207" t="s">
        <v>536</v>
      </c>
      <c r="AK65" s="159" t="e">
        <f>LOOKUP(E$14,'Model homes'!$C$351:$C$375,'Model homes'!$H$351:$H$375)*AK54</f>
        <v>#DIV/0!</v>
      </c>
      <c r="AL65" s="159" t="e">
        <f>LOOKUP(F$14,'Model homes'!$C$351:$C$375,'Model homes'!$H$351:$H$375)*AL54</f>
        <v>#DIV/0!</v>
      </c>
      <c r="AM65" s="159" t="e">
        <f>LOOKUP(G$14,'Model homes'!$C$351:$C$375,'Model homes'!$H$351:$H$375)*AM54</f>
        <v>#DIV/0!</v>
      </c>
      <c r="AN65" s="159" t="e">
        <f>LOOKUP(H$14,'Model homes'!$C$351:$C$375,'Model homes'!$H$351:$H$375)*AN54</f>
        <v>#DIV/0!</v>
      </c>
    </row>
    <row r="66" spans="3:40" x14ac:dyDescent="0.3">
      <c r="C66" s="14" t="s">
        <v>15</v>
      </c>
      <c r="D66" s="84" t="s">
        <v>536</v>
      </c>
      <c r="E66" s="42">
        <f>LOOKUP(E$14,'Model homes'!$C$203:$C$227,'Model homes'!$F$203:$F$227)*E55</f>
        <v>0</v>
      </c>
      <c r="F66" s="42">
        <f>LOOKUP(F$14,'Model homes'!$C$203:$C$227,'Model homes'!$F$203:$F$227)*F55</f>
        <v>0</v>
      </c>
      <c r="G66" s="42">
        <f>LOOKUP(G$14,'Model homes'!$C$203:$C$227,'Model homes'!$F$203:$F$227)*G55</f>
        <v>0</v>
      </c>
      <c r="H66" s="42">
        <f>LOOKUP(H$14,'Model homes'!$C$203:$C$227,'Model homes'!$F$203:$F$227)*H55</f>
        <v>0</v>
      </c>
      <c r="J66" s="213" t="s">
        <v>15</v>
      </c>
      <c r="L66" s="207" t="s">
        <v>536</v>
      </c>
      <c r="M66" s="42">
        <f>LOOKUP(E$14,'Model homes'!$C$351:$C$375,'Model homes'!$E$351:$E$375)*M55</f>
        <v>0.20752564478984295</v>
      </c>
      <c r="N66" s="42">
        <f>LOOKUP(F$14,'Model homes'!$C$351:$C$375,'Model homes'!$E$351:$E$375)*N55</f>
        <v>0.19270238444771134</v>
      </c>
      <c r="O66" s="42">
        <f>LOOKUP(G$14,'Model homes'!$C$351:$C$375,'Model homes'!$E$351:$E$375)*O55</f>
        <v>0.22550379680435972</v>
      </c>
      <c r="P66" s="42">
        <f>LOOKUP(H$14,'Model homes'!$C$351:$C$375,'Model homes'!$E$351:$E$375)*P55</f>
        <v>0.21583934836988722</v>
      </c>
      <c r="R66" s="213" t="s">
        <v>15</v>
      </c>
      <c r="T66" s="207" t="s">
        <v>536</v>
      </c>
      <c r="U66" s="42">
        <f>LOOKUP(E$14,'Model homes'!$C$351:$C$375,'Model homes'!$F$351:$F$375)*U55</f>
        <v>2.8114037517655377</v>
      </c>
      <c r="V66" s="42">
        <f>LOOKUP(F$14,'Model homes'!$C$351:$C$375,'Model homes'!$F$351:$F$375)*V55</f>
        <v>2.6105891980679998</v>
      </c>
      <c r="W66" s="42">
        <f>LOOKUP(G$14,'Model homes'!$C$351:$C$375,'Model homes'!$F$351:$F$375)*W55</f>
        <v>3.0549584414744091</v>
      </c>
      <c r="X66" s="42">
        <f>LOOKUP(H$14,'Model homes'!$C$351:$C$375,'Model homes'!$F$351:$F$375)*X55</f>
        <v>2.9240316511255062</v>
      </c>
      <c r="Z66" s="213" t="s">
        <v>15</v>
      </c>
      <c r="AB66" s="207" t="s">
        <v>536</v>
      </c>
      <c r="AC66" s="42">
        <f>LOOKUP(E$14,'Model homes'!$C$351:$C$375,'Model homes'!$G$351:$G$375)*AC55</f>
        <v>1.2639485055206334</v>
      </c>
      <c r="AD66" s="42">
        <f>LOOKUP(F$14,'Model homes'!$C$351:$C$375,'Model homes'!$G$351:$G$375)*AD55</f>
        <v>1.1736664694120167</v>
      </c>
      <c r="AE66" s="42">
        <f>LOOKUP(G$14,'Model homes'!$C$351:$C$375,'Model homes'!$G$351:$G$375)*AE55</f>
        <v>1.3734456155948258</v>
      </c>
      <c r="AF66" s="42">
        <f>LOOKUP(H$14,'Model homes'!$C$351:$C$375,'Model homes'!$G$351:$G$375)*AF55</f>
        <v>1.3145836606407622</v>
      </c>
      <c r="AH66" s="213" t="s">
        <v>15</v>
      </c>
      <c r="AJ66" s="207" t="s">
        <v>536</v>
      </c>
      <c r="AK66" s="42">
        <f>LOOKUP(E$14,'Model homes'!$C$351:$C$375,'Model homes'!$H$351:$H$375)*AK55</f>
        <v>9.8042082082217003E-3</v>
      </c>
      <c r="AL66" s="42">
        <f>LOOKUP(F$14,'Model homes'!$C$351:$C$375,'Model homes'!$H$351:$H$375)*AL55</f>
        <v>9.1039076219201522E-3</v>
      </c>
      <c r="AM66" s="42">
        <f>LOOKUP(G$14,'Model homes'!$C$351:$C$375,'Model homes'!$H$351:$H$375)*AM55</f>
        <v>1.0653556469386627E-2</v>
      </c>
      <c r="AN66" s="42">
        <f>LOOKUP(H$14,'Model homes'!$C$351:$C$375,'Model homes'!$H$351:$H$375)*AN55</f>
        <v>1.0196975477841487E-2</v>
      </c>
    </row>
    <row r="67" spans="3:40" x14ac:dyDescent="0.3">
      <c r="C67" s="15" t="s">
        <v>16</v>
      </c>
      <c r="D67" s="84" t="s">
        <v>536</v>
      </c>
      <c r="E67" s="42">
        <f>LOOKUP(E$14,'Model homes'!$C$203:$C$227,'Model homes'!$F$203:$F$227)*E56</f>
        <v>0</v>
      </c>
      <c r="F67" s="42">
        <f>LOOKUP(F$14,'Model homes'!$C$203:$C$227,'Model homes'!$F$203:$F$227)*F56</f>
        <v>0</v>
      </c>
      <c r="G67" s="42">
        <f>LOOKUP(G$14,'Model homes'!$C$203:$C$227,'Model homes'!$F$203:$F$227)*G56</f>
        <v>0</v>
      </c>
      <c r="H67" s="42">
        <f>LOOKUP(H$14,'Model homes'!$C$203:$C$227,'Model homes'!$F$203:$F$227)*H56</f>
        <v>0</v>
      </c>
      <c r="J67" s="210" t="s">
        <v>16</v>
      </c>
      <c r="L67" s="207" t="s">
        <v>536</v>
      </c>
      <c r="M67" s="42">
        <f>LOOKUP(E$14,'Model homes'!$C$351:$C$375,'Model homes'!$E$351:$E$375)*M56</f>
        <v>0.16861458639174737</v>
      </c>
      <c r="N67" s="42">
        <f>LOOKUP(F$14,'Model homes'!$C$351:$C$375,'Model homes'!$E$351:$E$375)*N56</f>
        <v>0.16058532037309278</v>
      </c>
      <c r="O67" s="42">
        <f>LOOKUP(G$14,'Model homes'!$C$351:$C$375,'Model homes'!$E$351:$E$375)*O56</f>
        <v>0.18425310226697689</v>
      </c>
      <c r="P67" s="42">
        <f>LOOKUP(H$14,'Model homes'!$C$351:$C$375,'Model homes'!$E$351:$E$375)*P56</f>
        <v>0.17986612364157267</v>
      </c>
      <c r="R67" s="210" t="s">
        <v>16</v>
      </c>
      <c r="T67" s="207" t="s">
        <v>536</v>
      </c>
      <c r="U67" s="42">
        <f>LOOKUP(E$14,'Model homes'!$C$351:$C$375,'Model homes'!$F$351:$F$375)*U56</f>
        <v>2.2842655483094991</v>
      </c>
      <c r="V67" s="42">
        <f>LOOKUP(F$14,'Model homes'!$C$351:$C$375,'Model homes'!$F$351:$F$375)*V56</f>
        <v>2.1754909983899999</v>
      </c>
      <c r="W67" s="42">
        <f>LOOKUP(G$14,'Model homes'!$C$351:$C$375,'Model homes'!$F$351:$F$375)*W56</f>
        <v>2.496124580229091</v>
      </c>
      <c r="X67" s="42">
        <f>LOOKUP(H$14,'Model homes'!$C$351:$C$375,'Model homes'!$F$351:$F$375)*X56</f>
        <v>2.4366930426045887</v>
      </c>
      <c r="Z67" s="210" t="s">
        <v>16</v>
      </c>
      <c r="AB67" s="207" t="s">
        <v>536</v>
      </c>
      <c r="AC67" s="42">
        <f>LOOKUP(E$14,'Model homes'!$C$351:$C$375,'Model homes'!$G$351:$G$375)*AC56</f>
        <v>1.0269581607355145</v>
      </c>
      <c r="AD67" s="42">
        <f>LOOKUP(F$14,'Model homes'!$C$351:$C$375,'Model homes'!$G$351:$G$375)*AD56</f>
        <v>0.97805539117668072</v>
      </c>
      <c r="AE67" s="42">
        <f>LOOKUP(G$14,'Model homes'!$C$351:$C$375,'Model homes'!$G$351:$G$375)*AE56</f>
        <v>1.1222055639616264</v>
      </c>
      <c r="AF67" s="42">
        <f>LOOKUP(H$14,'Model homes'!$C$351:$C$375,'Model homes'!$G$351:$G$375)*AF56</f>
        <v>1.0954863838673019</v>
      </c>
      <c r="AH67" s="210" t="s">
        <v>16</v>
      </c>
      <c r="AJ67" s="207" t="s">
        <v>536</v>
      </c>
      <c r="AK67" s="42">
        <f>LOOKUP(E$14,'Model homes'!$C$351:$C$375,'Model homes'!$H$351:$H$375)*AK56</f>
        <v>7.9659191691801318E-3</v>
      </c>
      <c r="AL67" s="42">
        <f>LOOKUP(F$14,'Model homes'!$C$351:$C$375,'Model homes'!$H$351:$H$375)*AL56</f>
        <v>7.5865896849334601E-3</v>
      </c>
      <c r="AM67" s="42">
        <f>LOOKUP(G$14,'Model homes'!$C$351:$C$375,'Model homes'!$H$351:$H$375)*AM56</f>
        <v>8.7047351640110252E-3</v>
      </c>
      <c r="AN67" s="42">
        <f>LOOKUP(H$14,'Model homes'!$C$351:$C$375,'Model homes'!$H$351:$H$375)*AN56</f>
        <v>8.4974795648679047E-3</v>
      </c>
    </row>
    <row r="68" spans="3:40" x14ac:dyDescent="0.3">
      <c r="C68" s="15" t="s">
        <v>17</v>
      </c>
      <c r="D68" s="84" t="s">
        <v>536</v>
      </c>
      <c r="E68" s="42">
        <f>LOOKUP(E$14,'Model homes'!$C$203:$C$227,'Model homes'!$F$203:$F$227)*E57</f>
        <v>38.548601748758941</v>
      </c>
      <c r="F68" s="42">
        <f>LOOKUP(F$14,'Model homes'!$C$203:$C$227,'Model homes'!$F$203:$F$227)*F57</f>
        <v>35.795130195276158</v>
      </c>
      <c r="G68" s="42">
        <f>LOOKUP(G$14,'Model homes'!$C$203:$C$227,'Model homes'!$F$203:$F$227)*G57</f>
        <v>43.176970050830327</v>
      </c>
      <c r="H68" s="42">
        <f>LOOKUP(H$14,'Model homes'!$C$203:$C$227,'Model homes'!$F$203:$F$227)*H57</f>
        <v>40.092900761485311</v>
      </c>
      <c r="J68" s="210" t="s">
        <v>17</v>
      </c>
      <c r="L68" s="207" t="s">
        <v>536</v>
      </c>
      <c r="M68" s="42">
        <f>LOOKUP(E$14,'Model homes'!$C$351:$C$375,'Model homes'!$E$351:$E$375)*M57</f>
        <v>1.9714936255035078</v>
      </c>
      <c r="N68" s="42">
        <f>LOOKUP(F$14,'Model homes'!$C$351:$C$375,'Model homes'!$E$351:$E$375)*N57</f>
        <v>1.8306726522532577</v>
      </c>
      <c r="O68" s="42">
        <f>LOOKUP(G$14,'Model homes'!$C$351:$C$375,'Model homes'!$E$351:$E$375)*O57</f>
        <v>2.2082025640919225</v>
      </c>
      <c r="P68" s="42">
        <f>LOOKUP(H$14,'Model homes'!$C$351:$C$375,'Model homes'!$E$351:$E$375)*P57</f>
        <v>2.0504738095139281</v>
      </c>
      <c r="R68" s="210" t="s">
        <v>17</v>
      </c>
      <c r="T68" s="207" t="s">
        <v>536</v>
      </c>
      <c r="U68" s="42">
        <f>LOOKUP(E$14,'Model homes'!$C$351:$C$375,'Model homes'!$F$351:$F$375)*U57</f>
        <v>2.5393324209495187</v>
      </c>
      <c r="V68" s="42">
        <f>LOOKUP(F$14,'Model homes'!$C$351:$C$375,'Model homes'!$F$351:$F$375)*V57</f>
        <v>2.3579515337388384</v>
      </c>
      <c r="W68" s="42">
        <f>LOOKUP(G$14,'Model homes'!$C$351:$C$375,'Model homes'!$F$351:$F$375)*W57</f>
        <v>2.8442193728069438</v>
      </c>
      <c r="X68" s="42">
        <f>LOOKUP(H$14,'Model homes'!$C$351:$C$375,'Model homes'!$F$351:$F$375)*X57</f>
        <v>2.6410608461778766</v>
      </c>
      <c r="Z68" s="210" t="s">
        <v>17</v>
      </c>
      <c r="AB68" s="207" t="s">
        <v>536</v>
      </c>
      <c r="AC68" s="42">
        <f>LOOKUP(E$14,'Model homes'!$C$351:$C$375,'Model homes'!$G$351:$G$375)*AC57</f>
        <v>0.18056407221723331</v>
      </c>
      <c r="AD68" s="42">
        <f>LOOKUP(F$14,'Model homes'!$C$351:$C$375,'Model homes'!$G$351:$G$375)*AD57</f>
        <v>0.16766663848743096</v>
      </c>
      <c r="AE68" s="42">
        <f>LOOKUP(G$14,'Model homes'!$C$351:$C$375,'Model homes'!$G$351:$G$375)*AE57</f>
        <v>0.20224364009857876</v>
      </c>
      <c r="AF68" s="42">
        <f>LOOKUP(H$14,'Model homes'!$C$351:$C$375,'Model homes'!$G$351:$G$375)*AF57</f>
        <v>0.18779766580582316</v>
      </c>
      <c r="AH68" s="210" t="s">
        <v>17</v>
      </c>
      <c r="AJ68" s="207" t="s">
        <v>536</v>
      </c>
      <c r="AK68" s="42">
        <f>LOOKUP(E$14,'Model homes'!$C$351:$C$375,'Model homes'!$H$351:$H$375)*AK57</f>
        <v>9.8042082082217003E-3</v>
      </c>
      <c r="AL68" s="42">
        <f>LOOKUP(F$14,'Model homes'!$C$351:$C$375,'Model homes'!$H$351:$H$375)*AL57</f>
        <v>9.1039076219201522E-3</v>
      </c>
      <c r="AM68" s="42">
        <f>LOOKUP(G$14,'Model homes'!$C$351:$C$375,'Model homes'!$H$351:$H$375)*AM57</f>
        <v>1.0981358206906214E-2</v>
      </c>
      <c r="AN68" s="42">
        <f>LOOKUP(H$14,'Model homes'!$C$351:$C$375,'Model homes'!$H$351:$H$375)*AN57</f>
        <v>1.0196975477841487E-2</v>
      </c>
    </row>
    <row r="69" spans="3:40" x14ac:dyDescent="0.3">
      <c r="C69" s="15" t="s">
        <v>18</v>
      </c>
      <c r="D69" s="84" t="s">
        <v>536</v>
      </c>
      <c r="E69" s="42">
        <f>LOOKUP(E$14,'Model homes'!$C$203:$C$227,'Model homes'!$F$203:$F$227)*E58</f>
        <v>19.274300874379467</v>
      </c>
      <c r="F69" s="42">
        <f>LOOKUP(F$14,'Model homes'!$C$203:$C$227,'Model homes'!$F$203:$F$227)*F58</f>
        <v>18.140518470004206</v>
      </c>
      <c r="G69" s="42">
        <f>LOOKUP(G$14,'Model homes'!$C$203:$C$227,'Model homes'!$F$203:$F$227)*G58</f>
        <v>21.588485025415164</v>
      </c>
      <c r="H69" s="42">
        <f>LOOKUP(H$14,'Model homes'!$C$203:$C$227,'Model homes'!$F$203:$F$227)*H58</f>
        <v>20.318574141567215</v>
      </c>
      <c r="J69" s="210" t="s">
        <v>18</v>
      </c>
      <c r="L69" s="207" t="s">
        <v>536</v>
      </c>
      <c r="M69" s="42">
        <f>LOOKUP(E$14,'Model homes'!$C$351:$C$375,'Model homes'!$E$351:$E$375)*M58</f>
        <v>1.5175312775257266</v>
      </c>
      <c r="N69" s="42">
        <f>LOOKUP(F$14,'Model homes'!$C$351:$C$375,'Model homes'!$E$351:$E$375)*N58</f>
        <v>1.4282647317889192</v>
      </c>
      <c r="O69" s="42">
        <f>LOOKUP(G$14,'Model homes'!$C$351:$C$375,'Model homes'!$E$351:$E$375)*O58</f>
        <v>1.6997348684128617</v>
      </c>
      <c r="P69" s="42">
        <f>LOOKUP(H$14,'Model homes'!$C$351:$C$375,'Model homes'!$E$351:$E$375)*P58</f>
        <v>1.5997504643885756</v>
      </c>
      <c r="R69" s="210" t="s">
        <v>18</v>
      </c>
      <c r="T69" s="207" t="s">
        <v>536</v>
      </c>
      <c r="U69" s="42">
        <f>LOOKUP(E$14,'Model homes'!$C$351:$C$375,'Model homes'!$F$351:$F$375)*U58</f>
        <v>5.1580189800537086</v>
      </c>
      <c r="V69" s="42">
        <f>LOOKUP(F$14,'Model homes'!$C$351:$C$375,'Model homes'!$F$351:$F$375)*V58</f>
        <v>4.8546060988740782</v>
      </c>
      <c r="W69" s="42">
        <f>LOOKUP(G$14,'Model homes'!$C$351:$C$375,'Model homes'!$F$351:$F$375)*W58</f>
        <v>5.7773206010141056</v>
      </c>
      <c r="X69" s="42">
        <f>LOOKUP(H$14,'Model homes'!$C$351:$C$375,'Model homes'!$F$351:$F$375)*X58</f>
        <v>5.4374782127191583</v>
      </c>
      <c r="Z69" s="210" t="s">
        <v>18</v>
      </c>
      <c r="AB69" s="207" t="s">
        <v>536</v>
      </c>
      <c r="AC69" s="42">
        <f>LOOKUP(E$14,'Model homes'!$C$351:$C$375,'Model homes'!$G$351:$G$375)*AC58</f>
        <v>0.14670830867650206</v>
      </c>
      <c r="AD69" s="42">
        <f>LOOKUP(F$14,'Model homes'!$C$351:$C$375,'Model homes'!$G$351:$G$375)*AD58</f>
        <v>0.13807840816611958</v>
      </c>
      <c r="AE69" s="42">
        <f>LOOKUP(G$14,'Model homes'!$C$351:$C$375,'Model homes'!$G$351:$G$375)*AE58</f>
        <v>0.16432295758009527</v>
      </c>
      <c r="AF69" s="42">
        <f>LOOKUP(H$14,'Model homes'!$C$351:$C$375,'Model homes'!$G$351:$G$375)*AF58</f>
        <v>0.15465690125185438</v>
      </c>
      <c r="AH69" s="210" t="s">
        <v>18</v>
      </c>
      <c r="AJ69" s="207" t="s">
        <v>536</v>
      </c>
      <c r="AK69" s="42">
        <f>LOOKUP(E$14,'Model homes'!$C$351:$C$375,'Model homes'!$H$351:$H$375)*AK58</f>
        <v>7.9659191691801318E-3</v>
      </c>
      <c r="AL69" s="42">
        <f>LOOKUP(F$14,'Model homes'!$C$351:$C$375,'Model homes'!$H$351:$H$375)*AL58</f>
        <v>7.497335688640124E-3</v>
      </c>
      <c r="AM69" s="42">
        <f>LOOKUP(G$14,'Model homes'!$C$351:$C$375,'Model homes'!$H$351:$H$375)*AM58</f>
        <v>8.9223535431112999E-3</v>
      </c>
      <c r="AN69" s="42">
        <f>LOOKUP(H$14,'Model homes'!$C$351:$C$375,'Model homes'!$H$351:$H$375)*AN58</f>
        <v>8.3975092170459308E-3</v>
      </c>
    </row>
    <row r="70" spans="3:40" x14ac:dyDescent="0.3">
      <c r="C70" s="15" t="s">
        <v>19</v>
      </c>
      <c r="D70" s="84" t="s">
        <v>536</v>
      </c>
      <c r="E70" s="42">
        <f>LOOKUP(E$14,'Model homes'!$C$203:$C$227,'Model homes'!$F$203:$F$227)*E59</f>
        <v>23.490554190649977</v>
      </c>
      <c r="F70" s="42">
        <f>LOOKUP(F$14,'Model homes'!$C$203:$C$227,'Model homes'!$F$203:$F$227)*F59</f>
        <v>21.851678316883703</v>
      </c>
      <c r="G70" s="42">
        <f>LOOKUP(G$14,'Model homes'!$C$203:$C$227,'Model homes'!$F$203:$F$227)*G59</f>
        <v>26.310966124724736</v>
      </c>
      <c r="H70" s="42">
        <f>LOOKUP(H$14,'Model homes'!$C$203:$C$227,'Model homes'!$F$203:$F$227)*H59</f>
        <v>24.475317325325335</v>
      </c>
      <c r="J70" s="210" t="s">
        <v>19</v>
      </c>
      <c r="L70" s="207" t="s">
        <v>536</v>
      </c>
      <c r="M70" s="42">
        <f>LOOKUP(E$14,'Model homes'!$C$351:$C$375,'Model homes'!$E$351:$E$375)*M59</f>
        <v>1.5175312775257266</v>
      </c>
      <c r="N70" s="42">
        <f>LOOKUP(F$14,'Model homes'!$C$351:$C$375,'Model homes'!$E$351:$E$375)*N59</f>
        <v>1.4116570023495132</v>
      </c>
      <c r="O70" s="42">
        <f>LOOKUP(G$14,'Model homes'!$C$351:$C$375,'Model homes'!$E$351:$E$375)*O59</f>
        <v>1.6997348684128617</v>
      </c>
      <c r="P70" s="42">
        <f>LOOKUP(H$14,'Model homes'!$C$351:$C$375,'Model homes'!$E$351:$E$375)*P59</f>
        <v>1.5811487148026622</v>
      </c>
      <c r="R70" s="210" t="s">
        <v>19</v>
      </c>
      <c r="T70" s="207" t="s">
        <v>536</v>
      </c>
      <c r="U70" s="42">
        <f>LOOKUP(E$14,'Model homes'!$C$351:$C$375,'Model homes'!$F$351:$F$375)*U59</f>
        <v>5.1580189800537086</v>
      </c>
      <c r="V70" s="42">
        <f>LOOKUP(F$14,'Model homes'!$C$351:$C$375,'Model homes'!$F$351:$F$375)*V59</f>
        <v>4.7981571907476361</v>
      </c>
      <c r="W70" s="42">
        <f>LOOKUP(G$14,'Model homes'!$C$351:$C$375,'Model homes'!$F$351:$F$375)*W59</f>
        <v>5.7773206010141056</v>
      </c>
      <c r="X70" s="42">
        <f>LOOKUP(H$14,'Model homes'!$C$351:$C$375,'Model homes'!$F$351:$F$375)*X59</f>
        <v>5.3742517218735868</v>
      </c>
      <c r="Z70" s="210" t="s">
        <v>19</v>
      </c>
      <c r="AB70" s="207" t="s">
        <v>536</v>
      </c>
      <c r="AC70" s="42">
        <f>LOOKUP(E$14,'Model homes'!$C$351:$C$375,'Model homes'!$G$351:$G$375)*AC59</f>
        <v>0.14670830867650206</v>
      </c>
      <c r="AD70" s="42">
        <f>LOOKUP(F$14,'Model homes'!$C$351:$C$375,'Model homes'!$G$351:$G$375)*AD59</f>
        <v>0.13647284528046705</v>
      </c>
      <c r="AE70" s="42">
        <f>LOOKUP(G$14,'Model homes'!$C$351:$C$375,'Model homes'!$G$351:$G$375)*AE59</f>
        <v>0.16432295758009527</v>
      </c>
      <c r="AF70" s="42">
        <f>LOOKUP(H$14,'Model homes'!$C$351:$C$375,'Model homes'!$G$351:$G$375)*AF59</f>
        <v>0.15285856519078631</v>
      </c>
      <c r="AH70" s="210" t="s">
        <v>19</v>
      </c>
      <c r="AJ70" s="207" t="s">
        <v>536</v>
      </c>
      <c r="AK70" s="42">
        <f>LOOKUP(E$14,'Model homes'!$C$351:$C$375,'Model homes'!$H$351:$H$375)*AK59</f>
        <v>7.9659191691801318E-3</v>
      </c>
      <c r="AL70" s="42">
        <f>LOOKUP(F$14,'Model homes'!$C$351:$C$375,'Model homes'!$H$351:$H$375)*AL59</f>
        <v>7.4101573666791936E-3</v>
      </c>
      <c r="AM70" s="42">
        <f>LOOKUP(G$14,'Model homes'!$C$351:$C$375,'Model homes'!$H$351:$H$375)*AM59</f>
        <v>8.9223535431112999E-3</v>
      </c>
      <c r="AN70" s="42">
        <f>LOOKUP(H$14,'Model homes'!$C$351:$C$375,'Model homes'!$H$351:$H$375)*AN59</f>
        <v>8.2998637610337683E-3</v>
      </c>
    </row>
    <row r="71" spans="3:40" x14ac:dyDescent="0.3">
      <c r="C71" s="14" t="s">
        <v>20</v>
      </c>
      <c r="D71" s="84" t="s">
        <v>536</v>
      </c>
      <c r="E71" s="42">
        <f>LOOKUP(E$14,'Model homes'!$C$203:$C$227,'Model homes'!$F$203:$F$227)*E60</f>
        <v>15.759575420816155</v>
      </c>
      <c r="F71" s="42">
        <f>LOOKUP(F$14,'Model homes'!$C$203:$C$227,'Model homes'!$F$203:$F$227)*F60</f>
        <v>15.397286330682451</v>
      </c>
      <c r="G71" s="42">
        <f>LOOKUP(G$14,'Model homes'!$C$203:$C$227,'Model homes'!$F$203:$F$227)*G60</f>
        <v>17.245973669728205</v>
      </c>
      <c r="H71" s="42">
        <f>LOOKUP(H$14,'Model homes'!$C$203:$C$227,'Model homes'!$F$203:$F$227)*H60</f>
        <v>17.245973669728205</v>
      </c>
      <c r="J71" s="213" t="s">
        <v>20</v>
      </c>
      <c r="L71" s="207" t="s">
        <v>536</v>
      </c>
      <c r="M71" s="42">
        <f>LOOKUP(E$14,'Model homes'!$C$351:$C$375,'Model homes'!$E$351:$E$375)*M60</f>
        <v>0</v>
      </c>
      <c r="N71" s="42">
        <f>LOOKUP(F$14,'Model homes'!$C$351:$C$375,'Model homes'!$E$351:$E$375)*N60</f>
        <v>0</v>
      </c>
      <c r="O71" s="42">
        <f>LOOKUP(G$14,'Model homes'!$C$351:$C$375,'Model homes'!$E$351:$E$375)*O60</f>
        <v>0</v>
      </c>
      <c r="P71" s="42">
        <f>LOOKUP(H$14,'Model homes'!$C$351:$C$375,'Model homes'!$E$351:$E$375)*P60</f>
        <v>0</v>
      </c>
      <c r="R71" s="213" t="s">
        <v>20</v>
      </c>
      <c r="T71" s="207" t="s">
        <v>536</v>
      </c>
      <c r="U71" s="42">
        <f>LOOKUP(E$14,'Model homes'!$C$351:$C$375,'Model homes'!$F$351:$F$375)*U60</f>
        <v>0.90156970407661463</v>
      </c>
      <c r="V71" s="42">
        <f>LOOKUP(F$14,'Model homes'!$C$351:$C$375,'Model homes'!$F$351:$F$375)*V60</f>
        <v>0.88084396375301433</v>
      </c>
      <c r="W71" s="42">
        <f>LOOKUP(G$14,'Model homes'!$C$351:$C$375,'Model homes'!$F$351:$F$375)*W60</f>
        <v>0.98660318966414917</v>
      </c>
      <c r="X71" s="42">
        <f>LOOKUP(H$14,'Model homes'!$C$351:$C$375,'Model homes'!$F$351:$F$375)*X60</f>
        <v>0.98660318966414917</v>
      </c>
      <c r="Z71" s="213" t="s">
        <v>20</v>
      </c>
      <c r="AB71" s="207" t="s">
        <v>536</v>
      </c>
      <c r="AC71" s="42">
        <f>LOOKUP(E$14,'Model homes'!$C$351:$C$375,'Model homes'!$G$351:$G$375)*AC60</f>
        <v>0</v>
      </c>
      <c r="AD71" s="42">
        <f>LOOKUP(F$14,'Model homes'!$C$351:$C$375,'Model homes'!$G$351:$G$375)*AD60</f>
        <v>0</v>
      </c>
      <c r="AE71" s="42">
        <f>LOOKUP(G$14,'Model homes'!$C$351:$C$375,'Model homes'!$G$351:$G$375)*AE60</f>
        <v>0</v>
      </c>
      <c r="AF71" s="42">
        <f>LOOKUP(H$14,'Model homes'!$C$351:$C$375,'Model homes'!$G$351:$G$375)*AF60</f>
        <v>0</v>
      </c>
      <c r="AH71" s="213" t="s">
        <v>20</v>
      </c>
      <c r="AJ71" s="207" t="s">
        <v>536</v>
      </c>
      <c r="AK71" s="42">
        <f>LOOKUP(E$14,'Model homes'!$C$351:$C$375,'Model homes'!$H$351:$H$375)*AK60</f>
        <v>0</v>
      </c>
      <c r="AL71" s="42">
        <f>LOOKUP(F$14,'Model homes'!$C$351:$C$375,'Model homes'!$H$351:$H$375)*AL60</f>
        <v>0</v>
      </c>
      <c r="AM71" s="42">
        <f>LOOKUP(G$14,'Model homes'!$C$351:$C$375,'Model homes'!$H$351:$H$375)*AM60</f>
        <v>0</v>
      </c>
      <c r="AN71" s="42">
        <f>LOOKUP(H$14,'Model homes'!$C$351:$C$375,'Model homes'!$H$351:$H$375)*AN60</f>
        <v>0</v>
      </c>
    </row>
    <row r="72" spans="3:40" x14ac:dyDescent="0.3">
      <c r="C72" s="14" t="s">
        <v>21</v>
      </c>
      <c r="D72" s="84" t="s">
        <v>536</v>
      </c>
      <c r="E72" s="42" t="e">
        <f>LOOKUP(E$14,'Model homes'!$C$203:$C$227,'Model homes'!$F$203:$F$227)*E61</f>
        <v>#N/A</v>
      </c>
      <c r="F72" s="42" t="e">
        <f>LOOKUP(F$14,'Model homes'!$C$203:$C$227,'Model homes'!$F$203:$F$227)*F61</f>
        <v>#N/A</v>
      </c>
      <c r="G72" s="42" t="e">
        <f>LOOKUP(G$14,'Model homes'!$C$203:$C$227,'Model homes'!$F$203:$F$227)*G61</f>
        <v>#N/A</v>
      </c>
      <c r="H72" s="42" t="e">
        <f>LOOKUP(H$14,'Model homes'!$C$203:$C$227,'Model homes'!$F$203:$F$227)*H61</f>
        <v>#N/A</v>
      </c>
      <c r="J72" s="213" t="s">
        <v>21</v>
      </c>
      <c r="L72" s="207" t="s">
        <v>536</v>
      </c>
      <c r="M72" s="159" t="e">
        <f>LOOKUP(E$14,'Model homes'!$C$351:$C$375,'Model homes'!$E$351:$E$375)*M61</f>
        <v>#DIV/0!</v>
      </c>
      <c r="N72" s="159" t="e">
        <f>LOOKUP(F$14,'Model homes'!$C$351:$C$375,'Model homes'!$E$351:$E$375)*N61</f>
        <v>#DIV/0!</v>
      </c>
      <c r="O72" s="159" t="e">
        <f>LOOKUP(G$14,'Model homes'!$C$351:$C$375,'Model homes'!$E$351:$E$375)*O61</f>
        <v>#DIV/0!</v>
      </c>
      <c r="P72" s="159" t="e">
        <f>LOOKUP(H$14,'Model homes'!$C$351:$C$375,'Model homes'!$E$351:$E$375)*P61</f>
        <v>#DIV/0!</v>
      </c>
      <c r="R72" s="213" t="s">
        <v>21</v>
      </c>
      <c r="T72" s="207" t="s">
        <v>536</v>
      </c>
      <c r="U72" s="159" t="e">
        <f>LOOKUP(E$14,'Model homes'!$C$351:$C$375,'Model homes'!$F$351:$F$375)*U61</f>
        <v>#DIV/0!</v>
      </c>
      <c r="V72" s="159" t="e">
        <f>LOOKUP(F$14,'Model homes'!$C$351:$C$375,'Model homes'!$F$351:$F$375)*V61</f>
        <v>#DIV/0!</v>
      </c>
      <c r="W72" s="159" t="e">
        <f>LOOKUP(G$14,'Model homes'!$C$351:$C$375,'Model homes'!$F$351:$F$375)*W61</f>
        <v>#DIV/0!</v>
      </c>
      <c r="X72" s="159" t="e">
        <f>LOOKUP(H$14,'Model homes'!$C$351:$C$375,'Model homes'!$F$351:$F$375)*X61</f>
        <v>#DIV/0!</v>
      </c>
      <c r="Z72" s="213" t="s">
        <v>21</v>
      </c>
      <c r="AB72" s="207" t="s">
        <v>536</v>
      </c>
      <c r="AC72" s="159" t="e">
        <f>LOOKUP(E$14,'Model homes'!$C$351:$C$375,'Model homes'!$G$351:$G$375)*AC61</f>
        <v>#DIV/0!</v>
      </c>
      <c r="AD72" s="159" t="e">
        <f>LOOKUP(F$14,'Model homes'!$C$351:$C$375,'Model homes'!$G$351:$G$375)*AD61</f>
        <v>#DIV/0!</v>
      </c>
      <c r="AE72" s="159" t="e">
        <f>LOOKUP(G$14,'Model homes'!$C$351:$C$375,'Model homes'!$G$351:$G$375)*AE61</f>
        <v>#DIV/0!</v>
      </c>
      <c r="AF72" s="159" t="e">
        <f>LOOKUP(H$14,'Model homes'!$C$351:$C$375,'Model homes'!$G$351:$G$375)*AF61</f>
        <v>#DIV/0!</v>
      </c>
      <c r="AH72" s="213" t="s">
        <v>21</v>
      </c>
      <c r="AJ72" s="207" t="s">
        <v>536</v>
      </c>
      <c r="AK72" s="159" t="e">
        <f>LOOKUP(E$14,'Model homes'!$C$351:$C$375,'Model homes'!$H$351:$H$375)*AK61</f>
        <v>#DIV/0!</v>
      </c>
      <c r="AL72" s="159" t="e">
        <f>LOOKUP(F$14,'Model homes'!$C$351:$C$375,'Model homes'!$H$351:$H$375)*AL61</f>
        <v>#DIV/0!</v>
      </c>
      <c r="AM72" s="159" t="e">
        <f>LOOKUP(G$14,'Model homes'!$C$351:$C$375,'Model homes'!$H$351:$H$375)*AM61</f>
        <v>#DIV/0!</v>
      </c>
      <c r="AN72" s="159" t="e">
        <f>LOOKUP(H$14,'Model homes'!$C$351:$C$375,'Model homes'!$H$351:$H$375)*AN61</f>
        <v>#DIV/0!</v>
      </c>
    </row>
    <row r="73" spans="3:40" x14ac:dyDescent="0.3">
      <c r="C73" s="14" t="s">
        <v>22</v>
      </c>
      <c r="D73" s="84" t="s">
        <v>536</v>
      </c>
      <c r="E73" s="42" t="e">
        <f>LOOKUP(E$14,'Model homes'!$C$203:$C$227,'Model homes'!$F$203:$F$227)*E62</f>
        <v>#N/A</v>
      </c>
      <c r="F73" s="42" t="e">
        <f>LOOKUP(F$14,'Model homes'!$C$203:$C$227,'Model homes'!$F$203:$F$227)*F62</f>
        <v>#N/A</v>
      </c>
      <c r="G73" s="42" t="e">
        <f>LOOKUP(G$14,'Model homes'!$C$203:$C$227,'Model homes'!$F$203:$F$227)*G62</f>
        <v>#N/A</v>
      </c>
      <c r="H73" s="42" t="e">
        <f>LOOKUP(H$14,'Model homes'!$C$203:$C$227,'Model homes'!$F$203:$F$227)*H62</f>
        <v>#N/A</v>
      </c>
      <c r="J73" s="213" t="s">
        <v>22</v>
      </c>
      <c r="L73" s="207" t="s">
        <v>536</v>
      </c>
      <c r="M73" s="159" t="e">
        <f>LOOKUP(E$14,'Model homes'!$C$351:$C$375,'Model homes'!$E$351:$E$375)*M62</f>
        <v>#DIV/0!</v>
      </c>
      <c r="N73" s="159" t="e">
        <f>LOOKUP(F$14,'Model homes'!$C$351:$C$375,'Model homes'!$E$351:$E$375)*N62</f>
        <v>#DIV/0!</v>
      </c>
      <c r="O73" s="159" t="e">
        <f>LOOKUP(G$14,'Model homes'!$C$351:$C$375,'Model homes'!$E$351:$E$375)*O62</f>
        <v>#DIV/0!</v>
      </c>
      <c r="P73" s="159" t="e">
        <f>LOOKUP(H$14,'Model homes'!$C$351:$C$375,'Model homes'!$E$351:$E$375)*P62</f>
        <v>#DIV/0!</v>
      </c>
      <c r="R73" s="213" t="s">
        <v>22</v>
      </c>
      <c r="T73" s="207" t="s">
        <v>536</v>
      </c>
      <c r="U73" s="159" t="e">
        <f>LOOKUP(E$14,'Model homes'!$C$351:$C$375,'Model homes'!$F$351:$F$375)*U62</f>
        <v>#DIV/0!</v>
      </c>
      <c r="V73" s="159" t="e">
        <f>LOOKUP(F$14,'Model homes'!$C$351:$C$375,'Model homes'!$F$351:$F$375)*V62</f>
        <v>#DIV/0!</v>
      </c>
      <c r="W73" s="159" t="e">
        <f>LOOKUP(G$14,'Model homes'!$C$351:$C$375,'Model homes'!$F$351:$F$375)*W62</f>
        <v>#DIV/0!</v>
      </c>
      <c r="X73" s="159" t="e">
        <f>LOOKUP(H$14,'Model homes'!$C$351:$C$375,'Model homes'!$F$351:$F$375)*X62</f>
        <v>#DIV/0!</v>
      </c>
      <c r="Z73" s="213" t="s">
        <v>22</v>
      </c>
      <c r="AB73" s="207" t="s">
        <v>536</v>
      </c>
      <c r="AC73" s="159" t="e">
        <f>LOOKUP(E$14,'Model homes'!$C$351:$C$375,'Model homes'!$G$351:$G$375)*AC62</f>
        <v>#DIV/0!</v>
      </c>
      <c r="AD73" s="159" t="e">
        <f>LOOKUP(F$14,'Model homes'!$C$351:$C$375,'Model homes'!$G$351:$G$375)*AD62</f>
        <v>#DIV/0!</v>
      </c>
      <c r="AE73" s="159" t="e">
        <f>LOOKUP(G$14,'Model homes'!$C$351:$C$375,'Model homes'!$G$351:$G$375)*AE62</f>
        <v>#DIV/0!</v>
      </c>
      <c r="AF73" s="159" t="e">
        <f>LOOKUP(H$14,'Model homes'!$C$351:$C$375,'Model homes'!$G$351:$G$375)*AF62</f>
        <v>#DIV/0!</v>
      </c>
      <c r="AH73" s="213" t="s">
        <v>22</v>
      </c>
      <c r="AJ73" s="207" t="s">
        <v>536</v>
      </c>
      <c r="AK73" s="159" t="e">
        <f>LOOKUP(E$14,'Model homes'!$C$351:$C$375,'Model homes'!$H$351:$H$375)*AK62</f>
        <v>#DIV/0!</v>
      </c>
      <c r="AL73" s="159" t="e">
        <f>LOOKUP(F$14,'Model homes'!$C$351:$C$375,'Model homes'!$H$351:$H$375)*AL62</f>
        <v>#DIV/0!</v>
      </c>
      <c r="AM73" s="159" t="e">
        <f>LOOKUP(G$14,'Model homes'!$C$351:$C$375,'Model homes'!$H$351:$H$375)*AM62</f>
        <v>#DIV/0!</v>
      </c>
      <c r="AN73" s="159" t="e">
        <f>LOOKUP(H$14,'Model homes'!$C$351:$C$375,'Model homes'!$H$351:$H$375)*AN62</f>
        <v>#DIV/0!</v>
      </c>
    </row>
    <row r="74" spans="3:40" ht="15.75" customHeight="1" x14ac:dyDescent="0.3">
      <c r="C74" s="96"/>
      <c r="D74" s="96"/>
      <c r="E74" s="55"/>
      <c r="F74" s="55"/>
      <c r="G74" s="55"/>
      <c r="H74" s="55"/>
    </row>
    <row r="75" spans="3:40" x14ac:dyDescent="0.3">
      <c r="C75" s="195" t="s">
        <v>303</v>
      </c>
      <c r="D75" s="17" t="s">
        <v>301</v>
      </c>
      <c r="E75" s="231">
        <f>'Model homes'!E$170</f>
        <v>0.03</v>
      </c>
    </row>
    <row r="76" spans="3:40" x14ac:dyDescent="0.3">
      <c r="J76" s="26"/>
    </row>
    <row r="77" spans="3:40" x14ac:dyDescent="0.3">
      <c r="C77" s="51" t="s">
        <v>537</v>
      </c>
      <c r="E77" s="209"/>
      <c r="J77" s="229" t="s">
        <v>538</v>
      </c>
    </row>
    <row r="78" spans="3:40" x14ac:dyDescent="0.3">
      <c r="C78" s="209" t="s">
        <v>14</v>
      </c>
      <c r="D78" s="207" t="s">
        <v>536</v>
      </c>
      <c r="E78" s="159" t="e">
        <f>M65+U65+AC65+AK65</f>
        <v>#DIV/0!</v>
      </c>
      <c r="F78" s="159" t="e">
        <f t="shared" ref="E78:H86" si="3">N65+V65+AD65+AL65</f>
        <v>#DIV/0!</v>
      </c>
      <c r="G78" s="159" t="e">
        <f t="shared" si="3"/>
        <v>#DIV/0!</v>
      </c>
      <c r="H78" s="159" t="e">
        <f t="shared" si="3"/>
        <v>#DIV/0!</v>
      </c>
      <c r="J78" s="230">
        <f>(1-(((1+'Model homes'!$E159)/(1+E$75))^E$14))/(E$75-'Model homes'!$E159)</f>
        <v>2.8985052991278306</v>
      </c>
    </row>
    <row r="79" spans="3:40" x14ac:dyDescent="0.3">
      <c r="C79" s="213" t="s">
        <v>15</v>
      </c>
      <c r="D79" s="207" t="s">
        <v>536</v>
      </c>
      <c r="E79" s="42">
        <f t="shared" si="3"/>
        <v>4.2926821102842361</v>
      </c>
      <c r="F79" s="42">
        <f t="shared" si="3"/>
        <v>3.986061959549648</v>
      </c>
      <c r="G79" s="42">
        <f t="shared" si="3"/>
        <v>4.6645614103429809</v>
      </c>
      <c r="H79" s="42">
        <f t="shared" si="3"/>
        <v>4.4646516356139969</v>
      </c>
      <c r="J79" s="230">
        <f>(1-(((1+'Model homes'!$E160)/(1+E$75))^E$14))/(E$75-'Model homes'!$E160)</f>
        <v>2.8844349961152265</v>
      </c>
    </row>
    <row r="80" spans="3:40" x14ac:dyDescent="0.3">
      <c r="C80" s="210" t="s">
        <v>16</v>
      </c>
      <c r="D80" s="207" t="s">
        <v>536</v>
      </c>
      <c r="E80" s="42">
        <f t="shared" si="3"/>
        <v>3.4878042146059416</v>
      </c>
      <c r="F80" s="42">
        <f t="shared" si="3"/>
        <v>3.321718299624707</v>
      </c>
      <c r="G80" s="42">
        <f t="shared" si="3"/>
        <v>3.8112879816217049</v>
      </c>
      <c r="H80" s="42">
        <f t="shared" si="3"/>
        <v>3.7205430296783311</v>
      </c>
      <c r="J80" s="230">
        <f>(1-(((1+'Model homes'!$E161)/(1+E$75))^E$14))/(E$75-'Model homes'!$E161)</f>
        <v>2.8985052991278306</v>
      </c>
    </row>
    <row r="81" spans="2:19" x14ac:dyDescent="0.3">
      <c r="C81" s="210" t="s">
        <v>17</v>
      </c>
      <c r="D81" s="207" t="s">
        <v>536</v>
      </c>
      <c r="E81" s="42">
        <f t="shared" si="3"/>
        <v>4.7011943268784817</v>
      </c>
      <c r="F81" s="42">
        <f t="shared" si="3"/>
        <v>4.3653947321014472</v>
      </c>
      <c r="G81" s="42">
        <f t="shared" si="3"/>
        <v>5.2656469352043516</v>
      </c>
      <c r="H81" s="42">
        <f t="shared" si="3"/>
        <v>4.8895292969754696</v>
      </c>
      <c r="J81" s="230">
        <f>(1-(((1+'Model homes'!$E162)/(1+E$75))^E$14))/(E$75-'Model homes'!$E162)</f>
        <v>2.8985052991278306</v>
      </c>
    </row>
    <row r="82" spans="2:19" x14ac:dyDescent="0.3">
      <c r="C82" s="210" t="s">
        <v>18</v>
      </c>
      <c r="D82" s="207" t="s">
        <v>536</v>
      </c>
      <c r="E82" s="42">
        <f t="shared" si="3"/>
        <v>6.8302244854251182</v>
      </c>
      <c r="F82" s="42">
        <f t="shared" si="3"/>
        <v>6.428446574517757</v>
      </c>
      <c r="G82" s="42">
        <f t="shared" si="3"/>
        <v>7.6503007805501744</v>
      </c>
      <c r="H82" s="42">
        <f t="shared" si="3"/>
        <v>7.2002830875766346</v>
      </c>
      <c r="J82" s="230">
        <f>(1-(((1+'Model homes'!$E163)/(1+E$75))^E$14))/(E$75-'Model homes'!$E163)</f>
        <v>2.8985052991278306</v>
      </c>
    </row>
    <row r="83" spans="2:19" x14ac:dyDescent="0.3">
      <c r="C83" s="210" t="s">
        <v>19</v>
      </c>
      <c r="D83" s="207" t="s">
        <v>536</v>
      </c>
      <c r="E83" s="42">
        <f t="shared" si="3"/>
        <v>6.8302244854251182</v>
      </c>
      <c r="F83" s="42">
        <f t="shared" si="3"/>
        <v>6.3536971957442958</v>
      </c>
      <c r="G83" s="42">
        <f t="shared" si="3"/>
        <v>7.6503007805501744</v>
      </c>
      <c r="H83" s="42">
        <f t="shared" si="3"/>
        <v>7.1165588656280683</v>
      </c>
      <c r="J83" s="230">
        <f>(1-(((1+'Model homes'!$E164)/(1+E$75))^E$14))/(E$75-'Model homes'!$E164)</f>
        <v>2.8985052991278306</v>
      </c>
    </row>
    <row r="84" spans="2:19" x14ac:dyDescent="0.3">
      <c r="C84" s="213" t="s">
        <v>20</v>
      </c>
      <c r="D84" s="207" t="s">
        <v>536</v>
      </c>
      <c r="E84" s="42">
        <f t="shared" si="3"/>
        <v>0.90156970407661463</v>
      </c>
      <c r="F84" s="42">
        <f t="shared" si="3"/>
        <v>0.88084396375301433</v>
      </c>
      <c r="G84" s="42">
        <f t="shared" si="3"/>
        <v>0.98660318966414917</v>
      </c>
      <c r="H84" s="42">
        <f t="shared" si="3"/>
        <v>0.98660318966414917</v>
      </c>
      <c r="J84" s="230">
        <f>(1-(((1+'Model homes'!$E165)/(1+E$75))^E$14))/(E$75-'Model homes'!$E165)</f>
        <v>2.9097944866380918</v>
      </c>
    </row>
    <row r="85" spans="2:19" x14ac:dyDescent="0.3">
      <c r="C85" s="213" t="s">
        <v>21</v>
      </c>
      <c r="D85" s="207" t="s">
        <v>536</v>
      </c>
      <c r="E85" s="159" t="e">
        <f t="shared" si="3"/>
        <v>#DIV/0!</v>
      </c>
      <c r="F85" s="159" t="e">
        <f t="shared" si="3"/>
        <v>#DIV/0!</v>
      </c>
      <c r="G85" s="159" t="e">
        <f t="shared" si="3"/>
        <v>#DIV/0!</v>
      </c>
      <c r="H85" s="159" t="e">
        <f t="shared" si="3"/>
        <v>#DIV/0!</v>
      </c>
      <c r="J85" s="230">
        <f>(1-(((1+'Model homes'!$E166)/(1+E$75))^E$14))/(E$75-'Model homes'!$E166)</f>
        <v>2.8985052991278306</v>
      </c>
    </row>
    <row r="86" spans="2:19" x14ac:dyDescent="0.3">
      <c r="C86" s="213" t="s">
        <v>22</v>
      </c>
      <c r="D86" s="207" t="s">
        <v>536</v>
      </c>
      <c r="E86" s="159" t="e">
        <f t="shared" si="3"/>
        <v>#DIV/0!</v>
      </c>
      <c r="F86" s="159" t="e">
        <f t="shared" si="3"/>
        <v>#DIV/0!</v>
      </c>
      <c r="G86" s="159" t="e">
        <f t="shared" si="3"/>
        <v>#DIV/0!</v>
      </c>
      <c r="H86" s="159" t="e">
        <f t="shared" si="3"/>
        <v>#DIV/0!</v>
      </c>
      <c r="J86" s="230">
        <f>(1-(((1+'Model homes'!$E167)/(1+E$75))^E$14))/(E$75-'Model homes'!$E167)</f>
        <v>2.8985052991278306</v>
      </c>
    </row>
    <row r="87" spans="2:19" x14ac:dyDescent="0.3">
      <c r="C87" s="36"/>
      <c r="D87" s="96"/>
      <c r="E87" s="55"/>
      <c r="F87" s="55"/>
      <c r="G87" s="55"/>
      <c r="H87" s="55"/>
      <c r="R87" s="42"/>
      <c r="S87" s="99"/>
    </row>
    <row r="88" spans="2:19" ht="20.25" x14ac:dyDescent="0.35">
      <c r="C88" s="81" t="s">
        <v>729</v>
      </c>
    </row>
    <row r="89" spans="2:19" s="18" customFormat="1" ht="17.25" thickBot="1" x14ac:dyDescent="0.35">
      <c r="B89" s="233" t="s">
        <v>153</v>
      </c>
      <c r="C89" s="19" t="s">
        <v>154</v>
      </c>
      <c r="D89" s="19" t="s">
        <v>32</v>
      </c>
      <c r="E89" s="19" t="s">
        <v>155</v>
      </c>
      <c r="F89" s="19"/>
      <c r="G89" s="19" t="s">
        <v>155</v>
      </c>
      <c r="H89" s="19"/>
      <c r="I89" s="19"/>
      <c r="J89" s="56" t="s">
        <v>156</v>
      </c>
      <c r="K89" s="56"/>
    </row>
    <row r="90" spans="2:19" s="30" customFormat="1" ht="18" thickTop="1" thickBot="1" x14ac:dyDescent="0.35">
      <c r="B90" s="234"/>
      <c r="C90" s="29" t="s">
        <v>157</v>
      </c>
      <c r="D90" s="29"/>
      <c r="E90" s="335" t="s">
        <v>5</v>
      </c>
      <c r="F90" s="335"/>
      <c r="G90" s="335" t="s">
        <v>6</v>
      </c>
      <c r="H90" s="335"/>
      <c r="I90" s="28"/>
      <c r="J90" s="28"/>
      <c r="K90" s="57"/>
      <c r="M90" s="20"/>
    </row>
    <row r="91" spans="2:19" ht="18" thickTop="1" thickBot="1" x14ac:dyDescent="0.35">
      <c r="B91" s="233"/>
      <c r="C91" s="29" t="s">
        <v>158</v>
      </c>
      <c r="D91" s="29"/>
      <c r="E91" s="29" t="s">
        <v>7</v>
      </c>
      <c r="F91" s="29" t="s">
        <v>8</v>
      </c>
      <c r="G91" s="29" t="s">
        <v>7</v>
      </c>
      <c r="H91" s="29" t="s">
        <v>8</v>
      </c>
      <c r="I91" s="19"/>
      <c r="J91" s="19"/>
      <c r="K91" s="56"/>
      <c r="M91" s="82"/>
      <c r="N91" s="82"/>
    </row>
    <row r="92" spans="2:19" ht="17.25" thickTop="1" x14ac:dyDescent="0.3">
      <c r="C92" s="20" t="s">
        <v>14</v>
      </c>
      <c r="D92" s="20" t="s">
        <v>540</v>
      </c>
      <c r="E92" s="38">
        <f>'Campaign Input'!$G$12*'Data Input'!B$9*'Data Input'!B16</f>
        <v>0</v>
      </c>
      <c r="F92" s="38">
        <f>'Campaign Input'!$G$12*'Data Input'!C$9*'Data Input'!C16</f>
        <v>0</v>
      </c>
      <c r="G92" s="38">
        <f>'Campaign Input'!$G$12*'Data Input'!D$9*'Data Input'!D16</f>
        <v>0</v>
      </c>
      <c r="H92" s="38">
        <f>'Campaign Input'!$G$12*'Data Input'!E$9*'Data Input'!E16</f>
        <v>0</v>
      </c>
    </row>
    <row r="93" spans="2:19" x14ac:dyDescent="0.3">
      <c r="C93" s="14" t="s">
        <v>15</v>
      </c>
      <c r="D93" s="20" t="s">
        <v>540</v>
      </c>
      <c r="E93" s="38">
        <f>'Campaign Input'!$G$12*'Data Input'!B$9*'Data Input'!B17</f>
        <v>0</v>
      </c>
      <c r="F93" s="38">
        <f>'Campaign Input'!$G$12*'Data Input'!C$9*'Data Input'!C17</f>
        <v>0</v>
      </c>
      <c r="G93" s="38">
        <f>'Campaign Input'!$G$12*'Data Input'!D$9*'Data Input'!D17</f>
        <v>0</v>
      </c>
      <c r="H93" s="38">
        <f>'Campaign Input'!$G$12*'Data Input'!E$9*'Data Input'!E17</f>
        <v>0</v>
      </c>
    </row>
    <row r="94" spans="2:19" x14ac:dyDescent="0.3">
      <c r="C94" s="15" t="s">
        <v>16</v>
      </c>
      <c r="D94" s="20" t="s">
        <v>540</v>
      </c>
      <c r="E94" s="38">
        <f>'Campaign Input'!$G$12*'Data Input'!B$9*'Data Input'!B18</f>
        <v>0</v>
      </c>
      <c r="F94" s="38">
        <f>'Campaign Input'!$G$12*'Data Input'!C$9*'Data Input'!C18</f>
        <v>0</v>
      </c>
      <c r="G94" s="38">
        <f>'Campaign Input'!$G$12*'Data Input'!D$9*'Data Input'!D18</f>
        <v>0</v>
      </c>
      <c r="H94" s="38">
        <f>'Campaign Input'!$G$12*'Data Input'!E$9*'Data Input'!E18</f>
        <v>0</v>
      </c>
    </row>
    <row r="95" spans="2:19" x14ac:dyDescent="0.3">
      <c r="C95" s="15" t="s">
        <v>17</v>
      </c>
      <c r="D95" s="20" t="s">
        <v>540</v>
      </c>
      <c r="E95" s="38">
        <f>'Campaign Input'!$G$12*'Data Input'!B$9*'Data Input'!B19</f>
        <v>0</v>
      </c>
      <c r="F95" s="38">
        <f>'Campaign Input'!$G$12*'Data Input'!C$9*'Data Input'!C19</f>
        <v>0</v>
      </c>
      <c r="G95" s="38">
        <f>'Campaign Input'!$G$12*'Data Input'!D$9*'Data Input'!D19</f>
        <v>0</v>
      </c>
      <c r="H95" s="38">
        <f>'Campaign Input'!$G$12*'Data Input'!E$9*'Data Input'!E19</f>
        <v>0</v>
      </c>
    </row>
    <row r="96" spans="2:19" x14ac:dyDescent="0.3">
      <c r="C96" s="15" t="s">
        <v>18</v>
      </c>
      <c r="D96" s="20" t="s">
        <v>540</v>
      </c>
      <c r="E96" s="38">
        <f>'Campaign Input'!$G$12*'Data Input'!B$9*'Data Input'!B20</f>
        <v>0</v>
      </c>
      <c r="F96" s="38">
        <f>'Campaign Input'!$G$12*'Data Input'!C$9*'Data Input'!C20</f>
        <v>0</v>
      </c>
      <c r="G96" s="38">
        <f>'Campaign Input'!$G$12*'Data Input'!D$9*'Data Input'!D20</f>
        <v>0</v>
      </c>
      <c r="H96" s="38">
        <f>'Campaign Input'!$G$12*'Data Input'!E$9*'Data Input'!E20</f>
        <v>0</v>
      </c>
    </row>
    <row r="97" spans="3:10" x14ac:dyDescent="0.3">
      <c r="C97" s="15" t="s">
        <v>19</v>
      </c>
      <c r="D97" s="20" t="s">
        <v>540</v>
      </c>
      <c r="E97" s="38">
        <f>'Campaign Input'!$G$12*'Data Input'!B$9*'Data Input'!B21</f>
        <v>0</v>
      </c>
      <c r="F97" s="38">
        <f>'Campaign Input'!$G$12*'Data Input'!C$9*'Data Input'!C21</f>
        <v>0</v>
      </c>
      <c r="G97" s="38">
        <f>'Campaign Input'!$G$12*'Data Input'!D$9*'Data Input'!D21</f>
        <v>0</v>
      </c>
      <c r="H97" s="38">
        <f>'Campaign Input'!$G$12*'Data Input'!E$9*'Data Input'!E21</f>
        <v>0</v>
      </c>
    </row>
    <row r="98" spans="3:10" x14ac:dyDescent="0.3">
      <c r="C98" s="14" t="s">
        <v>20</v>
      </c>
      <c r="D98" s="20" t="s">
        <v>540</v>
      </c>
      <c r="E98" s="38">
        <f>'Campaign Input'!$G$12*'Data Input'!B$9*'Data Input'!B22</f>
        <v>0</v>
      </c>
      <c r="F98" s="38">
        <f>'Campaign Input'!$G$12*'Data Input'!C$9*'Data Input'!C22</f>
        <v>0</v>
      </c>
      <c r="G98" s="38">
        <f>'Campaign Input'!$G$12*'Data Input'!D$9*'Data Input'!D22</f>
        <v>0</v>
      </c>
      <c r="H98" s="38">
        <f>'Campaign Input'!$G$12*'Data Input'!E$9*'Data Input'!E22</f>
        <v>0</v>
      </c>
    </row>
    <row r="99" spans="3:10" x14ac:dyDescent="0.3">
      <c r="C99" s="14" t="s">
        <v>21</v>
      </c>
      <c r="D99" s="20" t="s">
        <v>540</v>
      </c>
      <c r="E99" s="38">
        <f>'Campaign Input'!$G$12*'Data Input'!B$9*'Data Input'!B23</f>
        <v>0</v>
      </c>
      <c r="F99" s="38">
        <f>'Campaign Input'!$G$12*'Data Input'!C$9*'Data Input'!C23</f>
        <v>0</v>
      </c>
      <c r="G99" s="38">
        <f>'Campaign Input'!$G$12*'Data Input'!D$9*'Data Input'!D23</f>
        <v>0</v>
      </c>
      <c r="H99" s="38">
        <f>'Campaign Input'!$G$12*'Data Input'!E$9*'Data Input'!E23</f>
        <v>0</v>
      </c>
    </row>
    <row r="100" spans="3:10" x14ac:dyDescent="0.3">
      <c r="C100" s="14" t="s">
        <v>22</v>
      </c>
      <c r="D100" s="20" t="s">
        <v>540</v>
      </c>
      <c r="E100" s="38">
        <f>'Campaign Input'!$G$12*'Data Input'!B$9*'Data Input'!B24</f>
        <v>0</v>
      </c>
      <c r="F100" s="38">
        <f>'Campaign Input'!$G$12*'Data Input'!C$9*'Data Input'!C24</f>
        <v>0</v>
      </c>
      <c r="G100" s="38">
        <f>'Campaign Input'!$G$12*'Data Input'!D$9*'Data Input'!D24</f>
        <v>0</v>
      </c>
      <c r="H100" s="38">
        <f>'Campaign Input'!$G$12*'Data Input'!E$9*'Data Input'!E24</f>
        <v>0</v>
      </c>
    </row>
    <row r="102" spans="3:10" x14ac:dyDescent="0.3">
      <c r="C102" s="51" t="s">
        <v>541</v>
      </c>
      <c r="D102" s="84"/>
      <c r="E102" s="91"/>
    </row>
    <row r="103" spans="3:10" x14ac:dyDescent="0.3">
      <c r="C103" s="20" t="s">
        <v>14</v>
      </c>
      <c r="D103" s="15" t="s">
        <v>542</v>
      </c>
      <c r="E103" s="42">
        <f>E92*E21*E$14</f>
        <v>0</v>
      </c>
      <c r="F103" s="42">
        <f t="shared" ref="F103:H111" si="4">F92*F21</f>
        <v>0</v>
      </c>
      <c r="G103" s="42">
        <f t="shared" si="4"/>
        <v>0</v>
      </c>
      <c r="H103" s="42">
        <f t="shared" si="4"/>
        <v>0</v>
      </c>
    </row>
    <row r="104" spans="3:10" x14ac:dyDescent="0.3">
      <c r="C104" s="14" t="s">
        <v>15</v>
      </c>
      <c r="D104" s="15" t="s">
        <v>542</v>
      </c>
      <c r="E104" s="42">
        <f t="shared" ref="E104:E111" si="5">E93*E22</f>
        <v>0</v>
      </c>
      <c r="F104" s="42">
        <f t="shared" si="4"/>
        <v>0</v>
      </c>
      <c r="G104" s="42">
        <f t="shared" si="4"/>
        <v>0</v>
      </c>
      <c r="H104" s="42">
        <f t="shared" si="4"/>
        <v>0</v>
      </c>
    </row>
    <row r="105" spans="3:10" x14ac:dyDescent="0.3">
      <c r="C105" s="15" t="s">
        <v>16</v>
      </c>
      <c r="D105" s="15" t="s">
        <v>542</v>
      </c>
      <c r="E105" s="42">
        <f t="shared" si="5"/>
        <v>0</v>
      </c>
      <c r="F105" s="42">
        <f t="shared" si="4"/>
        <v>0</v>
      </c>
      <c r="G105" s="42">
        <f t="shared" si="4"/>
        <v>0</v>
      </c>
      <c r="H105" s="42">
        <f t="shared" si="4"/>
        <v>0</v>
      </c>
    </row>
    <row r="106" spans="3:10" x14ac:dyDescent="0.3">
      <c r="C106" s="15" t="s">
        <v>17</v>
      </c>
      <c r="D106" s="15" t="s">
        <v>542</v>
      </c>
      <c r="E106" s="42">
        <f t="shared" si="5"/>
        <v>0</v>
      </c>
      <c r="F106" s="42">
        <f t="shared" si="4"/>
        <v>0</v>
      </c>
      <c r="G106" s="42">
        <f t="shared" si="4"/>
        <v>0</v>
      </c>
      <c r="H106" s="42">
        <f t="shared" si="4"/>
        <v>0</v>
      </c>
    </row>
    <row r="107" spans="3:10" x14ac:dyDescent="0.3">
      <c r="C107" s="15" t="s">
        <v>18</v>
      </c>
      <c r="D107" s="15" t="s">
        <v>542</v>
      </c>
      <c r="E107" s="42">
        <f t="shared" si="5"/>
        <v>0</v>
      </c>
      <c r="F107" s="42">
        <f t="shared" si="4"/>
        <v>0</v>
      </c>
      <c r="G107" s="42">
        <f t="shared" si="4"/>
        <v>0</v>
      </c>
      <c r="H107" s="42">
        <f t="shared" si="4"/>
        <v>0</v>
      </c>
    </row>
    <row r="108" spans="3:10" x14ac:dyDescent="0.3">
      <c r="C108" s="15" t="s">
        <v>19</v>
      </c>
      <c r="D108" s="15" t="s">
        <v>542</v>
      </c>
      <c r="E108" s="42">
        <f t="shared" si="5"/>
        <v>0</v>
      </c>
      <c r="F108" s="42">
        <f t="shared" si="4"/>
        <v>0</v>
      </c>
      <c r="G108" s="42">
        <f t="shared" si="4"/>
        <v>0</v>
      </c>
      <c r="H108" s="42">
        <f t="shared" si="4"/>
        <v>0</v>
      </c>
    </row>
    <row r="109" spans="3:10" x14ac:dyDescent="0.3">
      <c r="C109" s="14" t="s">
        <v>20</v>
      </c>
      <c r="D109" s="15" t="s">
        <v>542</v>
      </c>
      <c r="E109" s="42">
        <f t="shared" si="5"/>
        <v>0</v>
      </c>
      <c r="F109" s="42">
        <f t="shared" si="4"/>
        <v>0</v>
      </c>
      <c r="G109" s="42">
        <f t="shared" si="4"/>
        <v>0</v>
      </c>
      <c r="H109" s="42">
        <f t="shared" si="4"/>
        <v>0</v>
      </c>
    </row>
    <row r="110" spans="3:10" x14ac:dyDescent="0.3">
      <c r="C110" s="14" t="s">
        <v>21</v>
      </c>
      <c r="D110" s="15" t="s">
        <v>542</v>
      </c>
      <c r="E110" s="42">
        <f t="shared" si="5"/>
        <v>0</v>
      </c>
      <c r="F110" s="42">
        <f t="shared" si="4"/>
        <v>0</v>
      </c>
      <c r="G110" s="42">
        <f t="shared" si="4"/>
        <v>0</v>
      </c>
      <c r="H110" s="42">
        <f t="shared" si="4"/>
        <v>0</v>
      </c>
    </row>
    <row r="111" spans="3:10" x14ac:dyDescent="0.3">
      <c r="C111" s="14" t="s">
        <v>22</v>
      </c>
      <c r="D111" s="15" t="s">
        <v>542</v>
      </c>
      <c r="E111" s="42">
        <f t="shared" si="5"/>
        <v>0</v>
      </c>
      <c r="F111" s="42">
        <f t="shared" si="4"/>
        <v>0</v>
      </c>
      <c r="G111" s="42">
        <f t="shared" si="4"/>
        <v>0</v>
      </c>
      <c r="H111" s="42">
        <f t="shared" si="4"/>
        <v>0</v>
      </c>
    </row>
    <row r="112" spans="3:10" x14ac:dyDescent="0.3">
      <c r="C112" s="102" t="s">
        <v>54</v>
      </c>
      <c r="D112" s="15" t="s">
        <v>542</v>
      </c>
      <c r="E112" s="45">
        <f>SUM(E103:E111)</f>
        <v>0</v>
      </c>
      <c r="F112" s="45">
        <f t="shared" ref="F112:H112" si="6">SUM(F103:F111)</f>
        <v>0</v>
      </c>
      <c r="G112" s="45">
        <f t="shared" si="6"/>
        <v>0</v>
      </c>
      <c r="H112" s="45">
        <f t="shared" si="6"/>
        <v>0</v>
      </c>
      <c r="J112" s="45">
        <f>SUM(E112:H112)</f>
        <v>0</v>
      </c>
    </row>
    <row r="113" spans="3:10" x14ac:dyDescent="0.3">
      <c r="C113" s="36"/>
    </row>
    <row r="114" spans="3:10" x14ac:dyDescent="0.3">
      <c r="C114" s="51" t="s">
        <v>726</v>
      </c>
      <c r="D114" s="84"/>
      <c r="E114" s="91"/>
    </row>
    <row r="115" spans="3:10" x14ac:dyDescent="0.3">
      <c r="C115" s="20" t="s">
        <v>14</v>
      </c>
      <c r="D115" s="15" t="s">
        <v>69</v>
      </c>
      <c r="E115" s="42" t="e">
        <f t="shared" ref="E115:E123" si="7">E92*E43*$J43</f>
        <v>#VALUE!</v>
      </c>
      <c r="F115" s="42" t="e">
        <f t="shared" ref="F115:H115" si="8">F92*F43*$J43</f>
        <v>#VALUE!</v>
      </c>
      <c r="G115" s="42" t="e">
        <f t="shared" si="8"/>
        <v>#VALUE!</v>
      </c>
      <c r="H115" s="42" t="e">
        <f t="shared" si="8"/>
        <v>#VALUE!</v>
      </c>
    </row>
    <row r="116" spans="3:10" x14ac:dyDescent="0.3">
      <c r="C116" s="14" t="s">
        <v>15</v>
      </c>
      <c r="D116" s="15" t="s">
        <v>69</v>
      </c>
      <c r="E116" s="42" t="e">
        <f t="shared" si="7"/>
        <v>#VALUE!</v>
      </c>
      <c r="F116" s="42" t="e">
        <f t="shared" ref="F116:H123" si="9">F93*F44*$J44</f>
        <v>#VALUE!</v>
      </c>
      <c r="G116" s="42" t="e">
        <f t="shared" si="9"/>
        <v>#VALUE!</v>
      </c>
      <c r="H116" s="42" t="e">
        <f t="shared" si="9"/>
        <v>#VALUE!</v>
      </c>
    </row>
    <row r="117" spans="3:10" x14ac:dyDescent="0.3">
      <c r="C117" s="15" t="s">
        <v>16</v>
      </c>
      <c r="D117" s="15" t="s">
        <v>69</v>
      </c>
      <c r="E117" s="42" t="e">
        <f t="shared" si="7"/>
        <v>#VALUE!</v>
      </c>
      <c r="F117" s="42" t="e">
        <f t="shared" si="9"/>
        <v>#VALUE!</v>
      </c>
      <c r="G117" s="42" t="e">
        <f t="shared" si="9"/>
        <v>#VALUE!</v>
      </c>
      <c r="H117" s="42" t="e">
        <f t="shared" si="9"/>
        <v>#VALUE!</v>
      </c>
    </row>
    <row r="118" spans="3:10" x14ac:dyDescent="0.3">
      <c r="C118" s="15" t="s">
        <v>17</v>
      </c>
      <c r="D118" s="15" t="s">
        <v>69</v>
      </c>
      <c r="E118" s="42" t="e">
        <f t="shared" si="7"/>
        <v>#VALUE!</v>
      </c>
      <c r="F118" s="42" t="e">
        <f t="shared" si="9"/>
        <v>#VALUE!</v>
      </c>
      <c r="G118" s="42" t="e">
        <f t="shared" si="9"/>
        <v>#VALUE!</v>
      </c>
      <c r="H118" s="42" t="e">
        <f t="shared" si="9"/>
        <v>#VALUE!</v>
      </c>
    </row>
    <row r="119" spans="3:10" x14ac:dyDescent="0.3">
      <c r="C119" s="15" t="s">
        <v>18</v>
      </c>
      <c r="D119" s="15" t="s">
        <v>69</v>
      </c>
      <c r="E119" s="42" t="e">
        <f t="shared" si="7"/>
        <v>#VALUE!</v>
      </c>
      <c r="F119" s="42" t="e">
        <f t="shared" si="9"/>
        <v>#VALUE!</v>
      </c>
      <c r="G119" s="42" t="e">
        <f t="shared" si="9"/>
        <v>#VALUE!</v>
      </c>
      <c r="H119" s="42" t="e">
        <f t="shared" si="9"/>
        <v>#VALUE!</v>
      </c>
    </row>
    <row r="120" spans="3:10" x14ac:dyDescent="0.3">
      <c r="C120" s="15" t="s">
        <v>19</v>
      </c>
      <c r="D120" s="15" t="s">
        <v>69</v>
      </c>
      <c r="E120" s="42" t="e">
        <f t="shared" si="7"/>
        <v>#VALUE!</v>
      </c>
      <c r="F120" s="42" t="e">
        <f t="shared" si="9"/>
        <v>#VALUE!</v>
      </c>
      <c r="G120" s="42" t="e">
        <f t="shared" si="9"/>
        <v>#VALUE!</v>
      </c>
      <c r="H120" s="42" t="e">
        <f t="shared" si="9"/>
        <v>#VALUE!</v>
      </c>
    </row>
    <row r="121" spans="3:10" x14ac:dyDescent="0.3">
      <c r="C121" s="14" t="s">
        <v>20</v>
      </c>
      <c r="D121" s="15" t="s">
        <v>69</v>
      </c>
      <c r="E121" s="42" t="e">
        <f t="shared" si="7"/>
        <v>#VALUE!</v>
      </c>
      <c r="F121" s="42" t="e">
        <f t="shared" si="9"/>
        <v>#VALUE!</v>
      </c>
      <c r="G121" s="42" t="e">
        <f t="shared" si="9"/>
        <v>#VALUE!</v>
      </c>
      <c r="H121" s="42" t="e">
        <f t="shared" si="9"/>
        <v>#VALUE!</v>
      </c>
    </row>
    <row r="122" spans="3:10" x14ac:dyDescent="0.3">
      <c r="C122" s="14" t="s">
        <v>21</v>
      </c>
      <c r="D122" s="15" t="s">
        <v>69</v>
      </c>
      <c r="E122" s="42" t="e">
        <f t="shared" si="7"/>
        <v>#VALUE!</v>
      </c>
      <c r="F122" s="42" t="e">
        <f t="shared" si="9"/>
        <v>#VALUE!</v>
      </c>
      <c r="G122" s="42" t="e">
        <f t="shared" si="9"/>
        <v>#VALUE!</v>
      </c>
      <c r="H122" s="42" t="e">
        <f t="shared" si="9"/>
        <v>#VALUE!</v>
      </c>
    </row>
    <row r="123" spans="3:10" x14ac:dyDescent="0.3">
      <c r="C123" s="14" t="s">
        <v>22</v>
      </c>
      <c r="D123" s="15" t="s">
        <v>69</v>
      </c>
      <c r="E123" s="42" t="e">
        <f t="shared" si="7"/>
        <v>#VALUE!</v>
      </c>
      <c r="F123" s="42" t="e">
        <f t="shared" si="9"/>
        <v>#VALUE!</v>
      </c>
      <c r="G123" s="42" t="e">
        <f t="shared" si="9"/>
        <v>#VALUE!</v>
      </c>
      <c r="H123" s="42" t="e">
        <f t="shared" si="9"/>
        <v>#VALUE!</v>
      </c>
    </row>
    <row r="124" spans="3:10" x14ac:dyDescent="0.3">
      <c r="C124" s="102" t="s">
        <v>54</v>
      </c>
      <c r="D124" s="15" t="s">
        <v>69</v>
      </c>
      <c r="E124" s="45" t="e">
        <f>SUM(E115:E123)</f>
        <v>#VALUE!</v>
      </c>
      <c r="F124" s="45" t="e">
        <f t="shared" ref="F124:H124" si="10">SUM(F115:F123)</f>
        <v>#VALUE!</v>
      </c>
      <c r="G124" s="45" t="e">
        <f t="shared" si="10"/>
        <v>#VALUE!</v>
      </c>
      <c r="H124" s="45" t="e">
        <f t="shared" si="10"/>
        <v>#VALUE!</v>
      </c>
      <c r="J124" s="45" t="e">
        <f>SUM(E124:H124)</f>
        <v>#VALUE!</v>
      </c>
    </row>
    <row r="125" spans="3:10" x14ac:dyDescent="0.3">
      <c r="C125" s="203"/>
      <c r="D125" s="15"/>
      <c r="E125" s="199"/>
      <c r="F125" s="199"/>
      <c r="G125" s="199"/>
      <c r="H125" s="199"/>
      <c r="J125" s="199"/>
    </row>
    <row r="126" spans="3:10" x14ac:dyDescent="0.3">
      <c r="C126" s="51" t="s">
        <v>522</v>
      </c>
      <c r="D126" s="84"/>
      <c r="E126" s="91"/>
    </row>
    <row r="127" spans="3:10" x14ac:dyDescent="0.3">
      <c r="C127" s="20" t="s">
        <v>14</v>
      </c>
      <c r="D127" s="84" t="s">
        <v>527</v>
      </c>
      <c r="E127" s="42" t="e">
        <f t="shared" ref="E127:H135" si="11">E92*E54</f>
        <v>#VALUE!</v>
      </c>
      <c r="F127" s="42" t="e">
        <f t="shared" si="11"/>
        <v>#VALUE!</v>
      </c>
      <c r="G127" s="42" t="e">
        <f t="shared" si="11"/>
        <v>#VALUE!</v>
      </c>
      <c r="H127" s="42" t="e">
        <f t="shared" si="11"/>
        <v>#VALUE!</v>
      </c>
    </row>
    <row r="128" spans="3:10" x14ac:dyDescent="0.3">
      <c r="C128" s="14" t="s">
        <v>15</v>
      </c>
      <c r="D128" s="84" t="s">
        <v>527</v>
      </c>
      <c r="E128" s="42">
        <f t="shared" si="11"/>
        <v>0</v>
      </c>
      <c r="F128" s="42">
        <f t="shared" si="11"/>
        <v>0</v>
      </c>
      <c r="G128" s="42">
        <f t="shared" si="11"/>
        <v>0</v>
      </c>
      <c r="H128" s="42">
        <f t="shared" si="11"/>
        <v>0</v>
      </c>
    </row>
    <row r="129" spans="3:10" x14ac:dyDescent="0.3">
      <c r="C129" s="15" t="s">
        <v>16</v>
      </c>
      <c r="D129" s="84" t="s">
        <v>527</v>
      </c>
      <c r="E129" s="42">
        <f t="shared" si="11"/>
        <v>0</v>
      </c>
      <c r="F129" s="42">
        <f t="shared" si="11"/>
        <v>0</v>
      </c>
      <c r="G129" s="42">
        <f t="shared" si="11"/>
        <v>0</v>
      </c>
      <c r="H129" s="42">
        <f t="shared" si="11"/>
        <v>0</v>
      </c>
    </row>
    <row r="130" spans="3:10" x14ac:dyDescent="0.3">
      <c r="C130" s="15" t="s">
        <v>17</v>
      </c>
      <c r="D130" s="84" t="s">
        <v>527</v>
      </c>
      <c r="E130" s="42">
        <f t="shared" si="11"/>
        <v>0</v>
      </c>
      <c r="F130" s="42">
        <f t="shared" si="11"/>
        <v>0</v>
      </c>
      <c r="G130" s="42">
        <f t="shared" si="11"/>
        <v>0</v>
      </c>
      <c r="H130" s="42">
        <f t="shared" si="11"/>
        <v>0</v>
      </c>
    </row>
    <row r="131" spans="3:10" x14ac:dyDescent="0.3">
      <c r="C131" s="15" t="s">
        <v>18</v>
      </c>
      <c r="D131" s="84" t="s">
        <v>527</v>
      </c>
      <c r="E131" s="42">
        <f t="shared" si="11"/>
        <v>0</v>
      </c>
      <c r="F131" s="42">
        <f t="shared" si="11"/>
        <v>0</v>
      </c>
      <c r="G131" s="42">
        <f t="shared" si="11"/>
        <v>0</v>
      </c>
      <c r="H131" s="42">
        <f t="shared" si="11"/>
        <v>0</v>
      </c>
    </row>
    <row r="132" spans="3:10" x14ac:dyDescent="0.3">
      <c r="C132" s="15" t="s">
        <v>19</v>
      </c>
      <c r="D132" s="84" t="s">
        <v>527</v>
      </c>
      <c r="E132" s="42">
        <f t="shared" si="11"/>
        <v>0</v>
      </c>
      <c r="F132" s="42">
        <f t="shared" si="11"/>
        <v>0</v>
      </c>
      <c r="G132" s="42">
        <f t="shared" si="11"/>
        <v>0</v>
      </c>
      <c r="H132" s="42">
        <f t="shared" si="11"/>
        <v>0</v>
      </c>
    </row>
    <row r="133" spans="3:10" x14ac:dyDescent="0.3">
      <c r="C133" s="14" t="s">
        <v>20</v>
      </c>
      <c r="D133" s="84" t="s">
        <v>527</v>
      </c>
      <c r="E133" s="42">
        <f t="shared" si="11"/>
        <v>0</v>
      </c>
      <c r="F133" s="42">
        <f t="shared" si="11"/>
        <v>0</v>
      </c>
      <c r="G133" s="42">
        <f t="shared" si="11"/>
        <v>0</v>
      </c>
      <c r="H133" s="42">
        <f t="shared" si="11"/>
        <v>0</v>
      </c>
    </row>
    <row r="134" spans="3:10" x14ac:dyDescent="0.3">
      <c r="C134" s="14" t="s">
        <v>21</v>
      </c>
      <c r="D134" s="84" t="s">
        <v>527</v>
      </c>
      <c r="E134" s="42" t="e">
        <f t="shared" si="11"/>
        <v>#N/A</v>
      </c>
      <c r="F134" s="42" t="e">
        <f t="shared" si="11"/>
        <v>#N/A</v>
      </c>
      <c r="G134" s="42" t="e">
        <f t="shared" si="11"/>
        <v>#N/A</v>
      </c>
      <c r="H134" s="42" t="e">
        <f t="shared" si="11"/>
        <v>#N/A</v>
      </c>
    </row>
    <row r="135" spans="3:10" x14ac:dyDescent="0.3">
      <c r="C135" s="14" t="s">
        <v>22</v>
      </c>
      <c r="D135" s="84" t="s">
        <v>527</v>
      </c>
      <c r="E135" s="42" t="e">
        <f t="shared" si="11"/>
        <v>#N/A</v>
      </c>
      <c r="F135" s="42" t="e">
        <f t="shared" si="11"/>
        <v>#N/A</v>
      </c>
      <c r="G135" s="42" t="e">
        <f t="shared" si="11"/>
        <v>#N/A</v>
      </c>
      <c r="H135" s="42" t="e">
        <f t="shared" si="11"/>
        <v>#N/A</v>
      </c>
    </row>
    <row r="136" spans="3:10" x14ac:dyDescent="0.3">
      <c r="C136" s="102" t="s">
        <v>54</v>
      </c>
      <c r="D136" s="133" t="s">
        <v>527</v>
      </c>
      <c r="E136" s="45" t="e">
        <f>SUM(E127:E135)</f>
        <v>#VALUE!</v>
      </c>
      <c r="F136" s="45" t="e">
        <f t="shared" ref="F136:H136" si="12">SUM(F127:F135)</f>
        <v>#VALUE!</v>
      </c>
      <c r="G136" s="45" t="e">
        <f t="shared" si="12"/>
        <v>#VALUE!</v>
      </c>
      <c r="H136" s="45" t="e">
        <f t="shared" si="12"/>
        <v>#VALUE!</v>
      </c>
      <c r="J136" s="45" t="e">
        <f>SUM(E136:H136)</f>
        <v>#VALUE!</v>
      </c>
    </row>
    <row r="137" spans="3:10" x14ac:dyDescent="0.3">
      <c r="C137" s="20"/>
      <c r="E137" s="42"/>
    </row>
    <row r="138" spans="3:10" x14ac:dyDescent="0.3">
      <c r="C138" s="51" t="s">
        <v>544</v>
      </c>
      <c r="D138" s="207"/>
      <c r="E138" s="208"/>
    </row>
    <row r="139" spans="3:10" x14ac:dyDescent="0.3">
      <c r="C139" s="209" t="s">
        <v>14</v>
      </c>
      <c r="D139" s="207" t="s">
        <v>605</v>
      </c>
      <c r="E139" s="97" t="e">
        <f>E127*E$14</f>
        <v>#VALUE!</v>
      </c>
      <c r="F139" s="97" t="e">
        <f t="shared" ref="F139:H139" si="13">F127*F$14</f>
        <v>#VALUE!</v>
      </c>
      <c r="G139" s="97" t="e">
        <f t="shared" si="13"/>
        <v>#VALUE!</v>
      </c>
      <c r="H139" s="97" t="e">
        <f t="shared" si="13"/>
        <v>#VALUE!</v>
      </c>
    </row>
    <row r="140" spans="3:10" x14ac:dyDescent="0.3">
      <c r="C140" s="213" t="s">
        <v>15</v>
      </c>
      <c r="D140" s="207" t="s">
        <v>605</v>
      </c>
      <c r="E140" s="97">
        <f t="shared" ref="E140:H147" si="14">E128*E$14</f>
        <v>0</v>
      </c>
      <c r="F140" s="97">
        <f t="shared" si="14"/>
        <v>0</v>
      </c>
      <c r="G140" s="97">
        <f t="shared" si="14"/>
        <v>0</v>
      </c>
      <c r="H140" s="97">
        <f t="shared" si="14"/>
        <v>0</v>
      </c>
    </row>
    <row r="141" spans="3:10" x14ac:dyDescent="0.3">
      <c r="C141" s="210" t="s">
        <v>16</v>
      </c>
      <c r="D141" s="207" t="s">
        <v>605</v>
      </c>
      <c r="E141" s="97">
        <f t="shared" si="14"/>
        <v>0</v>
      </c>
      <c r="F141" s="97">
        <f t="shared" si="14"/>
        <v>0</v>
      </c>
      <c r="G141" s="97">
        <f t="shared" si="14"/>
        <v>0</v>
      </c>
      <c r="H141" s="97">
        <f t="shared" si="14"/>
        <v>0</v>
      </c>
    </row>
    <row r="142" spans="3:10" x14ac:dyDescent="0.3">
      <c r="C142" s="210" t="s">
        <v>17</v>
      </c>
      <c r="D142" s="207" t="s">
        <v>605</v>
      </c>
      <c r="E142" s="97">
        <f t="shared" si="14"/>
        <v>0</v>
      </c>
      <c r="F142" s="97">
        <f t="shared" si="14"/>
        <v>0</v>
      </c>
      <c r="G142" s="97">
        <f t="shared" si="14"/>
        <v>0</v>
      </c>
      <c r="H142" s="97">
        <f t="shared" si="14"/>
        <v>0</v>
      </c>
    </row>
    <row r="143" spans="3:10" x14ac:dyDescent="0.3">
      <c r="C143" s="210" t="s">
        <v>18</v>
      </c>
      <c r="D143" s="207" t="s">
        <v>605</v>
      </c>
      <c r="E143" s="97">
        <f t="shared" si="14"/>
        <v>0</v>
      </c>
      <c r="F143" s="97">
        <f t="shared" si="14"/>
        <v>0</v>
      </c>
      <c r="G143" s="97">
        <f t="shared" si="14"/>
        <v>0</v>
      </c>
      <c r="H143" s="97">
        <f t="shared" si="14"/>
        <v>0</v>
      </c>
    </row>
    <row r="144" spans="3:10" x14ac:dyDescent="0.3">
      <c r="C144" s="210" t="s">
        <v>19</v>
      </c>
      <c r="D144" s="207" t="s">
        <v>605</v>
      </c>
      <c r="E144" s="97">
        <f t="shared" si="14"/>
        <v>0</v>
      </c>
      <c r="F144" s="97">
        <f t="shared" si="14"/>
        <v>0</v>
      </c>
      <c r="G144" s="97">
        <f t="shared" si="14"/>
        <v>0</v>
      </c>
      <c r="H144" s="97">
        <f t="shared" si="14"/>
        <v>0</v>
      </c>
    </row>
    <row r="145" spans="3:10" x14ac:dyDescent="0.3">
      <c r="C145" s="213" t="s">
        <v>20</v>
      </c>
      <c r="D145" s="207" t="s">
        <v>605</v>
      </c>
      <c r="E145" s="97">
        <f t="shared" si="14"/>
        <v>0</v>
      </c>
      <c r="F145" s="97">
        <f t="shared" si="14"/>
        <v>0</v>
      </c>
      <c r="G145" s="97">
        <f t="shared" si="14"/>
        <v>0</v>
      </c>
      <c r="H145" s="97">
        <f t="shared" si="14"/>
        <v>0</v>
      </c>
    </row>
    <row r="146" spans="3:10" x14ac:dyDescent="0.3">
      <c r="C146" s="213" t="s">
        <v>21</v>
      </c>
      <c r="D146" s="207" t="s">
        <v>605</v>
      </c>
      <c r="E146" s="97" t="e">
        <f>E134*E$14</f>
        <v>#N/A</v>
      </c>
      <c r="F146" s="97" t="e">
        <f t="shared" si="14"/>
        <v>#N/A</v>
      </c>
      <c r="G146" s="97" t="e">
        <f t="shared" si="14"/>
        <v>#N/A</v>
      </c>
      <c r="H146" s="97" t="e">
        <f t="shared" si="14"/>
        <v>#N/A</v>
      </c>
    </row>
    <row r="147" spans="3:10" x14ac:dyDescent="0.3">
      <c r="C147" s="213" t="s">
        <v>22</v>
      </c>
      <c r="D147" s="207" t="s">
        <v>605</v>
      </c>
      <c r="E147" s="97" t="e">
        <f t="shared" si="14"/>
        <v>#N/A</v>
      </c>
      <c r="F147" s="97" t="e">
        <f t="shared" si="14"/>
        <v>#N/A</v>
      </c>
      <c r="G147" s="97" t="e">
        <f t="shared" si="14"/>
        <v>#N/A</v>
      </c>
      <c r="H147" s="97" t="e">
        <f t="shared" si="14"/>
        <v>#N/A</v>
      </c>
    </row>
    <row r="148" spans="3:10" x14ac:dyDescent="0.3">
      <c r="C148" s="216" t="s">
        <v>54</v>
      </c>
      <c r="D148" s="218" t="s">
        <v>605</v>
      </c>
      <c r="E148" s="217" t="e">
        <f>SUM(E139:E147)</f>
        <v>#VALUE!</v>
      </c>
      <c r="F148" s="217" t="e">
        <f>SUM(F139:F147)</f>
        <v>#VALUE!</v>
      </c>
      <c r="G148" s="217" t="e">
        <f>SUM(G139:G147)</f>
        <v>#VALUE!</v>
      </c>
      <c r="H148" s="217" t="e">
        <f>SUM(H139:H147)</f>
        <v>#VALUE!</v>
      </c>
      <c r="J148" s="217" t="e">
        <f>SUM(E148:H148)</f>
        <v>#VALUE!</v>
      </c>
    </row>
    <row r="149" spans="3:10" x14ac:dyDescent="0.3">
      <c r="C149" s="221"/>
      <c r="D149" s="222"/>
      <c r="E149" s="223"/>
      <c r="F149" s="223"/>
      <c r="G149" s="223"/>
      <c r="H149" s="223"/>
      <c r="J149" s="223"/>
    </row>
    <row r="150" spans="3:10" x14ac:dyDescent="0.3">
      <c r="C150" s="51" t="s">
        <v>313</v>
      </c>
      <c r="E150" s="91"/>
    </row>
    <row r="151" spans="3:10" x14ac:dyDescent="0.3">
      <c r="C151" s="20" t="s">
        <v>14</v>
      </c>
      <c r="D151" s="84" t="s">
        <v>272</v>
      </c>
      <c r="E151" s="42" t="e">
        <f t="shared" ref="E151:H159" si="15">E92*E65</f>
        <v>#VALUE!</v>
      </c>
      <c r="F151" s="42" t="e">
        <f t="shared" si="15"/>
        <v>#VALUE!</v>
      </c>
      <c r="G151" s="42" t="e">
        <f t="shared" si="15"/>
        <v>#VALUE!</v>
      </c>
      <c r="H151" s="42" t="e">
        <f t="shared" si="15"/>
        <v>#VALUE!</v>
      </c>
    </row>
    <row r="152" spans="3:10" x14ac:dyDescent="0.3">
      <c r="C152" s="14" t="s">
        <v>15</v>
      </c>
      <c r="D152" s="15" t="s">
        <v>272</v>
      </c>
      <c r="E152" s="42">
        <f t="shared" si="15"/>
        <v>0</v>
      </c>
      <c r="F152" s="42">
        <f t="shared" si="15"/>
        <v>0</v>
      </c>
      <c r="G152" s="42">
        <f t="shared" si="15"/>
        <v>0</v>
      </c>
      <c r="H152" s="42">
        <f t="shared" si="15"/>
        <v>0</v>
      </c>
    </row>
    <row r="153" spans="3:10" x14ac:dyDescent="0.3">
      <c r="C153" s="15" t="s">
        <v>16</v>
      </c>
      <c r="D153" s="15" t="s">
        <v>272</v>
      </c>
      <c r="E153" s="42">
        <f t="shared" si="15"/>
        <v>0</v>
      </c>
      <c r="F153" s="42">
        <f t="shared" si="15"/>
        <v>0</v>
      </c>
      <c r="G153" s="42">
        <f t="shared" si="15"/>
        <v>0</v>
      </c>
      <c r="H153" s="42">
        <f t="shared" si="15"/>
        <v>0</v>
      </c>
    </row>
    <row r="154" spans="3:10" x14ac:dyDescent="0.3">
      <c r="C154" s="15" t="s">
        <v>17</v>
      </c>
      <c r="D154" s="15" t="s">
        <v>272</v>
      </c>
      <c r="E154" s="42">
        <f t="shared" si="15"/>
        <v>0</v>
      </c>
      <c r="F154" s="42">
        <f t="shared" si="15"/>
        <v>0</v>
      </c>
      <c r="G154" s="42">
        <f t="shared" si="15"/>
        <v>0</v>
      </c>
      <c r="H154" s="42">
        <f t="shared" si="15"/>
        <v>0</v>
      </c>
    </row>
    <row r="155" spans="3:10" x14ac:dyDescent="0.3">
      <c r="C155" s="15" t="s">
        <v>18</v>
      </c>
      <c r="D155" s="15" t="s">
        <v>272</v>
      </c>
      <c r="E155" s="42">
        <f t="shared" si="15"/>
        <v>0</v>
      </c>
      <c r="F155" s="42">
        <f t="shared" si="15"/>
        <v>0</v>
      </c>
      <c r="G155" s="42">
        <f t="shared" si="15"/>
        <v>0</v>
      </c>
      <c r="H155" s="42">
        <f t="shared" si="15"/>
        <v>0</v>
      </c>
    </row>
    <row r="156" spans="3:10" x14ac:dyDescent="0.3">
      <c r="C156" s="15" t="s">
        <v>19</v>
      </c>
      <c r="D156" s="15" t="s">
        <v>272</v>
      </c>
      <c r="E156" s="42">
        <f t="shared" si="15"/>
        <v>0</v>
      </c>
      <c r="F156" s="42">
        <f t="shared" si="15"/>
        <v>0</v>
      </c>
      <c r="G156" s="42">
        <f t="shared" si="15"/>
        <v>0</v>
      </c>
      <c r="H156" s="42">
        <f t="shared" si="15"/>
        <v>0</v>
      </c>
    </row>
    <row r="157" spans="3:10" x14ac:dyDescent="0.3">
      <c r="C157" s="14" t="s">
        <v>20</v>
      </c>
      <c r="D157" s="15" t="s">
        <v>272</v>
      </c>
      <c r="E157" s="42">
        <f t="shared" si="15"/>
        <v>0</v>
      </c>
      <c r="F157" s="42">
        <f t="shared" si="15"/>
        <v>0</v>
      </c>
      <c r="G157" s="42">
        <f t="shared" si="15"/>
        <v>0</v>
      </c>
      <c r="H157" s="42">
        <f t="shared" si="15"/>
        <v>0</v>
      </c>
    </row>
    <row r="158" spans="3:10" x14ac:dyDescent="0.3">
      <c r="C158" s="14" t="s">
        <v>21</v>
      </c>
      <c r="D158" s="15" t="s">
        <v>272</v>
      </c>
      <c r="E158" s="42" t="e">
        <f t="shared" si="15"/>
        <v>#N/A</v>
      </c>
      <c r="F158" s="42" t="e">
        <f t="shared" si="15"/>
        <v>#N/A</v>
      </c>
      <c r="G158" s="42" t="e">
        <f t="shared" si="15"/>
        <v>#N/A</v>
      </c>
      <c r="H158" s="42" t="e">
        <f t="shared" si="15"/>
        <v>#N/A</v>
      </c>
    </row>
    <row r="159" spans="3:10" x14ac:dyDescent="0.3">
      <c r="C159" s="14" t="s">
        <v>22</v>
      </c>
      <c r="D159" s="15" t="s">
        <v>272</v>
      </c>
      <c r="E159" s="42" t="e">
        <f t="shared" si="15"/>
        <v>#N/A</v>
      </c>
      <c r="F159" s="42" t="e">
        <f t="shared" si="15"/>
        <v>#N/A</v>
      </c>
      <c r="G159" s="42" t="e">
        <f t="shared" si="15"/>
        <v>#N/A</v>
      </c>
      <c r="H159" s="42" t="e">
        <f t="shared" si="15"/>
        <v>#N/A</v>
      </c>
    </row>
    <row r="160" spans="3:10" x14ac:dyDescent="0.3">
      <c r="C160" s="102" t="s">
        <v>54</v>
      </c>
      <c r="D160" s="84" t="s">
        <v>272</v>
      </c>
      <c r="E160" s="45" t="e">
        <f>SUM(E151:E159)</f>
        <v>#VALUE!</v>
      </c>
      <c r="F160" s="45" t="e">
        <f t="shared" ref="F160:H160" si="16">SUM(F151:F159)</f>
        <v>#VALUE!</v>
      </c>
      <c r="G160" s="45" t="e">
        <f t="shared" si="16"/>
        <v>#VALUE!</v>
      </c>
      <c r="H160" s="45" t="e">
        <f t="shared" si="16"/>
        <v>#VALUE!</v>
      </c>
      <c r="J160" s="45" t="e">
        <f>SUM(E160:H160)</f>
        <v>#VALUE!</v>
      </c>
    </row>
    <row r="162" spans="3:10" x14ac:dyDescent="0.3">
      <c r="C162" s="51" t="s">
        <v>546</v>
      </c>
      <c r="E162" s="208"/>
    </row>
    <row r="163" spans="3:10" x14ac:dyDescent="0.3">
      <c r="C163" s="209" t="s">
        <v>14</v>
      </c>
      <c r="D163" s="207" t="s">
        <v>69</v>
      </c>
      <c r="E163" s="42" t="e">
        <f>E151*$J78</f>
        <v>#VALUE!</v>
      </c>
      <c r="F163" s="42" t="e">
        <f t="shared" ref="F163:H163" si="17">F151*$J78</f>
        <v>#VALUE!</v>
      </c>
      <c r="G163" s="42" t="e">
        <f t="shared" si="17"/>
        <v>#VALUE!</v>
      </c>
      <c r="H163" s="42" t="e">
        <f t="shared" si="17"/>
        <v>#VALUE!</v>
      </c>
    </row>
    <row r="164" spans="3:10" x14ac:dyDescent="0.3">
      <c r="C164" s="213" t="s">
        <v>15</v>
      </c>
      <c r="D164" s="207" t="s">
        <v>69</v>
      </c>
      <c r="E164" s="42">
        <f t="shared" ref="E164:H171" si="18">E152*$J79</f>
        <v>0</v>
      </c>
      <c r="F164" s="42">
        <f t="shared" si="18"/>
        <v>0</v>
      </c>
      <c r="G164" s="42">
        <f t="shared" si="18"/>
        <v>0</v>
      </c>
      <c r="H164" s="42">
        <f t="shared" si="18"/>
        <v>0</v>
      </c>
    </row>
    <row r="165" spans="3:10" x14ac:dyDescent="0.3">
      <c r="C165" s="210" t="s">
        <v>16</v>
      </c>
      <c r="D165" s="207" t="s">
        <v>69</v>
      </c>
      <c r="E165" s="42">
        <f t="shared" si="18"/>
        <v>0</v>
      </c>
      <c r="F165" s="42">
        <f t="shared" si="18"/>
        <v>0</v>
      </c>
      <c r="G165" s="42">
        <f t="shared" si="18"/>
        <v>0</v>
      </c>
      <c r="H165" s="42">
        <f t="shared" si="18"/>
        <v>0</v>
      </c>
    </row>
    <row r="166" spans="3:10" x14ac:dyDescent="0.3">
      <c r="C166" s="210" t="s">
        <v>17</v>
      </c>
      <c r="D166" s="207" t="s">
        <v>69</v>
      </c>
      <c r="E166" s="42">
        <f t="shared" si="18"/>
        <v>0</v>
      </c>
      <c r="F166" s="42">
        <f t="shared" si="18"/>
        <v>0</v>
      </c>
      <c r="G166" s="42">
        <f t="shared" si="18"/>
        <v>0</v>
      </c>
      <c r="H166" s="42">
        <f t="shared" si="18"/>
        <v>0</v>
      </c>
    </row>
    <row r="167" spans="3:10" x14ac:dyDescent="0.3">
      <c r="C167" s="210" t="s">
        <v>18</v>
      </c>
      <c r="D167" s="207" t="s">
        <v>69</v>
      </c>
      <c r="E167" s="42">
        <f t="shared" si="18"/>
        <v>0</v>
      </c>
      <c r="F167" s="42">
        <f t="shared" si="18"/>
        <v>0</v>
      </c>
      <c r="G167" s="42">
        <f t="shared" si="18"/>
        <v>0</v>
      </c>
      <c r="H167" s="42">
        <f t="shared" si="18"/>
        <v>0</v>
      </c>
    </row>
    <row r="168" spans="3:10" x14ac:dyDescent="0.3">
      <c r="C168" s="210" t="s">
        <v>19</v>
      </c>
      <c r="D168" s="207" t="s">
        <v>69</v>
      </c>
      <c r="E168" s="42">
        <f t="shared" si="18"/>
        <v>0</v>
      </c>
      <c r="F168" s="42">
        <f t="shared" si="18"/>
        <v>0</v>
      </c>
      <c r="G168" s="42">
        <f t="shared" si="18"/>
        <v>0</v>
      </c>
      <c r="H168" s="42">
        <f t="shared" si="18"/>
        <v>0</v>
      </c>
    </row>
    <row r="169" spans="3:10" x14ac:dyDescent="0.3">
      <c r="C169" s="213" t="s">
        <v>20</v>
      </c>
      <c r="D169" s="207" t="s">
        <v>69</v>
      </c>
      <c r="E169" s="42">
        <f t="shared" si="18"/>
        <v>0</v>
      </c>
      <c r="F169" s="42">
        <f t="shared" si="18"/>
        <v>0</v>
      </c>
      <c r="G169" s="42">
        <f t="shared" si="18"/>
        <v>0</v>
      </c>
      <c r="H169" s="42">
        <f t="shared" si="18"/>
        <v>0</v>
      </c>
    </row>
    <row r="170" spans="3:10" x14ac:dyDescent="0.3">
      <c r="C170" s="213" t="s">
        <v>21</v>
      </c>
      <c r="D170" s="207" t="s">
        <v>69</v>
      </c>
      <c r="E170" s="42" t="e">
        <f t="shared" si="18"/>
        <v>#N/A</v>
      </c>
      <c r="F170" s="42" t="e">
        <f t="shared" si="18"/>
        <v>#N/A</v>
      </c>
      <c r="G170" s="42" t="e">
        <f t="shared" si="18"/>
        <v>#N/A</v>
      </c>
      <c r="H170" s="42" t="e">
        <f t="shared" si="18"/>
        <v>#N/A</v>
      </c>
    </row>
    <row r="171" spans="3:10" x14ac:dyDescent="0.3">
      <c r="C171" s="213" t="s">
        <v>22</v>
      </c>
      <c r="D171" s="207" t="s">
        <v>69</v>
      </c>
      <c r="E171" s="42" t="e">
        <f t="shared" si="18"/>
        <v>#N/A</v>
      </c>
      <c r="F171" s="42" t="e">
        <f t="shared" si="18"/>
        <v>#N/A</v>
      </c>
      <c r="G171" s="42" t="e">
        <f t="shared" si="18"/>
        <v>#N/A</v>
      </c>
      <c r="H171" s="42" t="e">
        <f t="shared" si="18"/>
        <v>#N/A</v>
      </c>
    </row>
    <row r="172" spans="3:10" x14ac:dyDescent="0.3">
      <c r="C172" s="216" t="s">
        <v>54</v>
      </c>
      <c r="D172" s="207" t="s">
        <v>69</v>
      </c>
      <c r="E172" s="45" t="e">
        <f>SUM(E163:E171)</f>
        <v>#VALUE!</v>
      </c>
      <c r="F172" s="45" t="e">
        <f>SUM(F163:F171)</f>
        <v>#VALUE!</v>
      </c>
      <c r="G172" s="45" t="e">
        <f>SUM(G163:G171)</f>
        <v>#VALUE!</v>
      </c>
      <c r="H172" s="45" t="e">
        <f>SUM(H163:H171)</f>
        <v>#VALUE!</v>
      </c>
      <c r="J172" s="45" t="e">
        <f>SUM(E172:H172)</f>
        <v>#VALUE!</v>
      </c>
    </row>
    <row r="174" spans="3:10" x14ac:dyDescent="0.3">
      <c r="C174" s="51" t="s">
        <v>547</v>
      </c>
    </row>
    <row r="175" spans="3:10" x14ac:dyDescent="0.3">
      <c r="C175" s="209" t="s">
        <v>14</v>
      </c>
      <c r="D175" s="207" t="s">
        <v>548</v>
      </c>
      <c r="E175" s="160" t="e">
        <f>E92*(M54+U54+AC54+AK54)</f>
        <v>#DIV/0!</v>
      </c>
      <c r="F175" s="160" t="e">
        <f t="shared" ref="F175:H183" si="19">F92*(N54+V54+AD54+AL54)</f>
        <v>#DIV/0!</v>
      </c>
      <c r="G175" s="160" t="e">
        <f t="shared" si="19"/>
        <v>#DIV/0!</v>
      </c>
      <c r="H175" s="160" t="e">
        <f t="shared" si="19"/>
        <v>#DIV/0!</v>
      </c>
    </row>
    <row r="176" spans="3:10" x14ac:dyDescent="0.3">
      <c r="C176" s="213" t="s">
        <v>15</v>
      </c>
      <c r="D176" s="207" t="s">
        <v>548</v>
      </c>
      <c r="E176" s="130">
        <f t="shared" ref="E176:E183" si="20">E93*(M55+U55+AC55+AK55)</f>
        <v>0</v>
      </c>
      <c r="F176" s="130">
        <f t="shared" si="19"/>
        <v>0</v>
      </c>
      <c r="G176" s="130">
        <f t="shared" si="19"/>
        <v>0</v>
      </c>
      <c r="H176" s="130">
        <f t="shared" si="19"/>
        <v>0</v>
      </c>
    </row>
    <row r="177" spans="3:10" x14ac:dyDescent="0.3">
      <c r="C177" s="210" t="s">
        <v>16</v>
      </c>
      <c r="D177" s="207" t="s">
        <v>548</v>
      </c>
      <c r="E177" s="130">
        <f t="shared" si="20"/>
        <v>0</v>
      </c>
      <c r="F177" s="130">
        <f t="shared" si="19"/>
        <v>0</v>
      </c>
      <c r="G177" s="130">
        <f t="shared" si="19"/>
        <v>0</v>
      </c>
      <c r="H177" s="130">
        <f t="shared" si="19"/>
        <v>0</v>
      </c>
    </row>
    <row r="178" spans="3:10" x14ac:dyDescent="0.3">
      <c r="C178" s="210" t="s">
        <v>17</v>
      </c>
      <c r="D178" s="207" t="s">
        <v>548</v>
      </c>
      <c r="E178" s="130">
        <f t="shared" si="20"/>
        <v>0</v>
      </c>
      <c r="F178" s="130">
        <f t="shared" si="19"/>
        <v>0</v>
      </c>
      <c r="G178" s="130">
        <f t="shared" si="19"/>
        <v>0</v>
      </c>
      <c r="H178" s="130">
        <f t="shared" si="19"/>
        <v>0</v>
      </c>
    </row>
    <row r="179" spans="3:10" x14ac:dyDescent="0.3">
      <c r="C179" s="210" t="s">
        <v>18</v>
      </c>
      <c r="D179" s="207" t="s">
        <v>548</v>
      </c>
      <c r="E179" s="130">
        <f t="shared" si="20"/>
        <v>0</v>
      </c>
      <c r="F179" s="130">
        <f t="shared" si="19"/>
        <v>0</v>
      </c>
      <c r="G179" s="130">
        <f t="shared" si="19"/>
        <v>0</v>
      </c>
      <c r="H179" s="130">
        <f t="shared" si="19"/>
        <v>0</v>
      </c>
    </row>
    <row r="180" spans="3:10" x14ac:dyDescent="0.3">
      <c r="C180" s="210" t="s">
        <v>19</v>
      </c>
      <c r="D180" s="207" t="s">
        <v>548</v>
      </c>
      <c r="E180" s="130">
        <f t="shared" si="20"/>
        <v>0</v>
      </c>
      <c r="F180" s="130">
        <f t="shared" si="19"/>
        <v>0</v>
      </c>
      <c r="G180" s="130">
        <f t="shared" si="19"/>
        <v>0</v>
      </c>
      <c r="H180" s="130">
        <f t="shared" si="19"/>
        <v>0</v>
      </c>
    </row>
    <row r="181" spans="3:10" x14ac:dyDescent="0.3">
      <c r="C181" s="213" t="s">
        <v>20</v>
      </c>
      <c r="D181" s="207" t="s">
        <v>548</v>
      </c>
      <c r="E181" s="130">
        <f t="shared" si="20"/>
        <v>0</v>
      </c>
      <c r="F181" s="130">
        <f t="shared" si="19"/>
        <v>0</v>
      </c>
      <c r="G181" s="130">
        <f t="shared" si="19"/>
        <v>0</v>
      </c>
      <c r="H181" s="130">
        <f t="shared" si="19"/>
        <v>0</v>
      </c>
    </row>
    <row r="182" spans="3:10" x14ac:dyDescent="0.3">
      <c r="C182" s="213" t="s">
        <v>21</v>
      </c>
      <c r="D182" s="207" t="s">
        <v>548</v>
      </c>
      <c r="E182" s="160" t="e">
        <f t="shared" si="20"/>
        <v>#DIV/0!</v>
      </c>
      <c r="F182" s="160" t="e">
        <f t="shared" si="19"/>
        <v>#DIV/0!</v>
      </c>
      <c r="G182" s="160" t="e">
        <f t="shared" si="19"/>
        <v>#DIV/0!</v>
      </c>
      <c r="H182" s="160" t="e">
        <f t="shared" si="19"/>
        <v>#DIV/0!</v>
      </c>
    </row>
    <row r="183" spans="3:10" x14ac:dyDescent="0.3">
      <c r="C183" s="213" t="s">
        <v>22</v>
      </c>
      <c r="D183" s="207" t="s">
        <v>548</v>
      </c>
      <c r="E183" s="160" t="e">
        <f t="shared" si="20"/>
        <v>#DIV/0!</v>
      </c>
      <c r="F183" s="160" t="e">
        <f t="shared" si="19"/>
        <v>#DIV/0!</v>
      </c>
      <c r="G183" s="160" t="e">
        <f t="shared" si="19"/>
        <v>#DIV/0!</v>
      </c>
      <c r="H183" s="160" t="e">
        <f t="shared" si="19"/>
        <v>#DIV/0!</v>
      </c>
    </row>
    <row r="184" spans="3:10" x14ac:dyDescent="0.3">
      <c r="C184" s="102" t="s">
        <v>54</v>
      </c>
      <c r="D184" s="84" t="s">
        <v>548</v>
      </c>
      <c r="E184" s="200" t="e">
        <f>SUM(E175:E183)</f>
        <v>#DIV/0!</v>
      </c>
      <c r="F184" s="200" t="e">
        <f t="shared" ref="F184:H184" si="21">SUM(F175:F183)</f>
        <v>#DIV/0!</v>
      </c>
      <c r="G184" s="200" t="e">
        <f t="shared" si="21"/>
        <v>#DIV/0!</v>
      </c>
      <c r="H184" s="200" t="e">
        <f t="shared" si="21"/>
        <v>#DIV/0!</v>
      </c>
      <c r="J184" s="200" t="e">
        <f>SUM(E184:H184)</f>
        <v>#DIV/0!</v>
      </c>
    </row>
    <row r="186" spans="3:10" x14ac:dyDescent="0.3">
      <c r="C186" s="51" t="s">
        <v>549</v>
      </c>
    </row>
    <row r="187" spans="3:10" x14ac:dyDescent="0.3">
      <c r="C187" s="209" t="s">
        <v>14</v>
      </c>
      <c r="D187" s="207" t="s">
        <v>550</v>
      </c>
      <c r="E187" s="160" t="e">
        <f>E175*$E$14</f>
        <v>#DIV/0!</v>
      </c>
      <c r="F187" s="160" t="e">
        <f t="shared" ref="F187:H187" si="22">F175*$E$14</f>
        <v>#DIV/0!</v>
      </c>
      <c r="G187" s="160" t="e">
        <f t="shared" si="22"/>
        <v>#DIV/0!</v>
      </c>
      <c r="H187" s="160" t="e">
        <f t="shared" si="22"/>
        <v>#DIV/0!</v>
      </c>
    </row>
    <row r="188" spans="3:10" x14ac:dyDescent="0.3">
      <c r="C188" s="213" t="s">
        <v>15</v>
      </c>
      <c r="D188" s="207" t="s">
        <v>550</v>
      </c>
      <c r="E188" s="130">
        <f t="shared" ref="E188:H195" si="23">E176*$E$14</f>
        <v>0</v>
      </c>
      <c r="F188" s="130">
        <f t="shared" si="23"/>
        <v>0</v>
      </c>
      <c r="G188" s="130">
        <f t="shared" si="23"/>
        <v>0</v>
      </c>
      <c r="H188" s="130">
        <f t="shared" si="23"/>
        <v>0</v>
      </c>
    </row>
    <row r="189" spans="3:10" x14ac:dyDescent="0.3">
      <c r="C189" s="210" t="s">
        <v>16</v>
      </c>
      <c r="D189" s="207" t="s">
        <v>550</v>
      </c>
      <c r="E189" s="130">
        <f t="shared" si="23"/>
        <v>0</v>
      </c>
      <c r="F189" s="130">
        <f t="shared" si="23"/>
        <v>0</v>
      </c>
      <c r="G189" s="130">
        <f t="shared" si="23"/>
        <v>0</v>
      </c>
      <c r="H189" s="130">
        <f t="shared" si="23"/>
        <v>0</v>
      </c>
    </row>
    <row r="190" spans="3:10" x14ac:dyDescent="0.3">
      <c r="C190" s="210" t="s">
        <v>17</v>
      </c>
      <c r="D190" s="207" t="s">
        <v>550</v>
      </c>
      <c r="E190" s="130">
        <f t="shared" si="23"/>
        <v>0</v>
      </c>
      <c r="F190" s="130">
        <f t="shared" si="23"/>
        <v>0</v>
      </c>
      <c r="G190" s="130">
        <f t="shared" si="23"/>
        <v>0</v>
      </c>
      <c r="H190" s="130">
        <f t="shared" si="23"/>
        <v>0</v>
      </c>
    </row>
    <row r="191" spans="3:10" x14ac:dyDescent="0.3">
      <c r="C191" s="210" t="s">
        <v>18</v>
      </c>
      <c r="D191" s="207" t="s">
        <v>550</v>
      </c>
      <c r="E191" s="130">
        <f t="shared" si="23"/>
        <v>0</v>
      </c>
      <c r="F191" s="130">
        <f t="shared" si="23"/>
        <v>0</v>
      </c>
      <c r="G191" s="130">
        <f t="shared" si="23"/>
        <v>0</v>
      </c>
      <c r="H191" s="130">
        <f t="shared" si="23"/>
        <v>0</v>
      </c>
    </row>
    <row r="192" spans="3:10" x14ac:dyDescent="0.3">
      <c r="C192" s="210" t="s">
        <v>19</v>
      </c>
      <c r="D192" s="207" t="s">
        <v>550</v>
      </c>
      <c r="E192" s="130">
        <f t="shared" si="23"/>
        <v>0</v>
      </c>
      <c r="F192" s="130">
        <f t="shared" si="23"/>
        <v>0</v>
      </c>
      <c r="G192" s="130">
        <f t="shared" si="23"/>
        <v>0</v>
      </c>
      <c r="H192" s="130">
        <f t="shared" si="23"/>
        <v>0</v>
      </c>
    </row>
    <row r="193" spans="3:10" x14ac:dyDescent="0.3">
      <c r="C193" s="213" t="s">
        <v>20</v>
      </c>
      <c r="D193" s="207" t="s">
        <v>550</v>
      </c>
      <c r="E193" s="130">
        <f t="shared" si="23"/>
        <v>0</v>
      </c>
      <c r="F193" s="130">
        <f t="shared" si="23"/>
        <v>0</v>
      </c>
      <c r="G193" s="130">
        <f t="shared" si="23"/>
        <v>0</v>
      </c>
      <c r="H193" s="130">
        <f t="shared" si="23"/>
        <v>0</v>
      </c>
    </row>
    <row r="194" spans="3:10" x14ac:dyDescent="0.3">
      <c r="C194" s="213" t="s">
        <v>21</v>
      </c>
      <c r="D194" s="207" t="s">
        <v>550</v>
      </c>
      <c r="E194" s="160" t="e">
        <f t="shared" si="23"/>
        <v>#DIV/0!</v>
      </c>
      <c r="F194" s="160" t="e">
        <f t="shared" si="23"/>
        <v>#DIV/0!</v>
      </c>
      <c r="G194" s="160" t="e">
        <f t="shared" si="23"/>
        <v>#DIV/0!</v>
      </c>
      <c r="H194" s="160" t="e">
        <f t="shared" si="23"/>
        <v>#DIV/0!</v>
      </c>
    </row>
    <row r="195" spans="3:10" x14ac:dyDescent="0.3">
      <c r="C195" s="213" t="s">
        <v>22</v>
      </c>
      <c r="D195" s="207" t="s">
        <v>550</v>
      </c>
      <c r="E195" s="160" t="e">
        <f t="shared" si="23"/>
        <v>#DIV/0!</v>
      </c>
      <c r="F195" s="160" t="e">
        <f t="shared" si="23"/>
        <v>#DIV/0!</v>
      </c>
      <c r="G195" s="160" t="e">
        <f t="shared" si="23"/>
        <v>#DIV/0!</v>
      </c>
      <c r="H195" s="160" t="e">
        <f t="shared" si="23"/>
        <v>#DIV/0!</v>
      </c>
    </row>
    <row r="196" spans="3:10" x14ac:dyDescent="0.3">
      <c r="C196" s="216" t="s">
        <v>54</v>
      </c>
      <c r="D196" s="207" t="s">
        <v>550</v>
      </c>
      <c r="E196" s="200" t="e">
        <f>SUM(E187:E195)</f>
        <v>#DIV/0!</v>
      </c>
      <c r="F196" s="200" t="e">
        <f>SUM(F187:F195)</f>
        <v>#DIV/0!</v>
      </c>
      <c r="G196" s="200" t="e">
        <f>SUM(G187:G195)</f>
        <v>#DIV/0!</v>
      </c>
      <c r="H196" s="200" t="e">
        <f>SUM(H187:H195)</f>
        <v>#DIV/0!</v>
      </c>
      <c r="J196" s="200" t="e">
        <f>SUM(E196:H196)</f>
        <v>#DIV/0!</v>
      </c>
    </row>
    <row r="198" spans="3:10" x14ac:dyDescent="0.3">
      <c r="C198" s="51" t="s">
        <v>537</v>
      </c>
      <c r="E198" s="159"/>
    </row>
    <row r="199" spans="3:10" x14ac:dyDescent="0.3">
      <c r="C199" s="209" t="s">
        <v>14</v>
      </c>
      <c r="D199" s="207" t="s">
        <v>272</v>
      </c>
      <c r="E199" s="159" t="e">
        <f t="shared" ref="E199:E207" si="24">E92*E78</f>
        <v>#DIV/0!</v>
      </c>
      <c r="F199" s="159" t="e">
        <f t="shared" ref="F199:H199" si="25">F92*F78</f>
        <v>#DIV/0!</v>
      </c>
      <c r="G199" s="159" t="e">
        <f t="shared" si="25"/>
        <v>#DIV/0!</v>
      </c>
      <c r="H199" s="159" t="e">
        <f t="shared" si="25"/>
        <v>#DIV/0!</v>
      </c>
    </row>
    <row r="200" spans="3:10" x14ac:dyDescent="0.3">
      <c r="C200" s="213" t="s">
        <v>15</v>
      </c>
      <c r="D200" s="207" t="s">
        <v>272</v>
      </c>
      <c r="E200" s="42">
        <f t="shared" si="24"/>
        <v>0</v>
      </c>
      <c r="F200" s="42">
        <f t="shared" ref="F200:H207" si="26">F93*F79</f>
        <v>0</v>
      </c>
      <c r="G200" s="42">
        <f t="shared" si="26"/>
        <v>0</v>
      </c>
      <c r="H200" s="42">
        <f t="shared" si="26"/>
        <v>0</v>
      </c>
    </row>
    <row r="201" spans="3:10" x14ac:dyDescent="0.3">
      <c r="C201" s="210" t="s">
        <v>16</v>
      </c>
      <c r="D201" s="207" t="s">
        <v>272</v>
      </c>
      <c r="E201" s="42">
        <f t="shared" si="24"/>
        <v>0</v>
      </c>
      <c r="F201" s="42">
        <f t="shared" si="26"/>
        <v>0</v>
      </c>
      <c r="G201" s="42">
        <f t="shared" si="26"/>
        <v>0</v>
      </c>
      <c r="H201" s="42">
        <f t="shared" si="26"/>
        <v>0</v>
      </c>
    </row>
    <row r="202" spans="3:10" x14ac:dyDescent="0.3">
      <c r="C202" s="210" t="s">
        <v>17</v>
      </c>
      <c r="D202" s="207" t="s">
        <v>272</v>
      </c>
      <c r="E202" s="42">
        <f t="shared" si="24"/>
        <v>0</v>
      </c>
      <c r="F202" s="42">
        <f t="shared" si="26"/>
        <v>0</v>
      </c>
      <c r="G202" s="42">
        <f t="shared" si="26"/>
        <v>0</v>
      </c>
      <c r="H202" s="42">
        <f t="shared" si="26"/>
        <v>0</v>
      </c>
    </row>
    <row r="203" spans="3:10" x14ac:dyDescent="0.3">
      <c r="C203" s="210" t="s">
        <v>18</v>
      </c>
      <c r="D203" s="207" t="s">
        <v>272</v>
      </c>
      <c r="E203" s="42">
        <f t="shared" si="24"/>
        <v>0</v>
      </c>
      <c r="F203" s="42">
        <f t="shared" si="26"/>
        <v>0</v>
      </c>
      <c r="G203" s="42">
        <f t="shared" si="26"/>
        <v>0</v>
      </c>
      <c r="H203" s="42">
        <f t="shared" si="26"/>
        <v>0</v>
      </c>
    </row>
    <row r="204" spans="3:10" x14ac:dyDescent="0.3">
      <c r="C204" s="210" t="s">
        <v>19</v>
      </c>
      <c r="D204" s="207" t="s">
        <v>272</v>
      </c>
      <c r="E204" s="42">
        <f t="shared" si="24"/>
        <v>0</v>
      </c>
      <c r="F204" s="42">
        <f t="shared" si="26"/>
        <v>0</v>
      </c>
      <c r="G204" s="42">
        <f t="shared" si="26"/>
        <v>0</v>
      </c>
      <c r="H204" s="42">
        <f t="shared" si="26"/>
        <v>0</v>
      </c>
    </row>
    <row r="205" spans="3:10" x14ac:dyDescent="0.3">
      <c r="C205" s="213" t="s">
        <v>20</v>
      </c>
      <c r="D205" s="207" t="s">
        <v>272</v>
      </c>
      <c r="E205" s="42">
        <f t="shared" si="24"/>
        <v>0</v>
      </c>
      <c r="F205" s="42">
        <f t="shared" si="26"/>
        <v>0</v>
      </c>
      <c r="G205" s="42">
        <f t="shared" si="26"/>
        <v>0</v>
      </c>
      <c r="H205" s="42">
        <f t="shared" si="26"/>
        <v>0</v>
      </c>
    </row>
    <row r="206" spans="3:10" x14ac:dyDescent="0.3">
      <c r="C206" s="213" t="s">
        <v>21</v>
      </c>
      <c r="D206" s="207" t="s">
        <v>272</v>
      </c>
      <c r="E206" s="159" t="e">
        <f t="shared" si="24"/>
        <v>#DIV/0!</v>
      </c>
      <c r="F206" s="159" t="e">
        <f t="shared" si="26"/>
        <v>#DIV/0!</v>
      </c>
      <c r="G206" s="159" t="e">
        <f t="shared" si="26"/>
        <v>#DIV/0!</v>
      </c>
      <c r="H206" s="159" t="e">
        <f t="shared" si="26"/>
        <v>#DIV/0!</v>
      </c>
    </row>
    <row r="207" spans="3:10" x14ac:dyDescent="0.3">
      <c r="C207" s="213" t="s">
        <v>22</v>
      </c>
      <c r="D207" s="207" t="s">
        <v>272</v>
      </c>
      <c r="E207" s="159" t="e">
        <f t="shared" si="24"/>
        <v>#DIV/0!</v>
      </c>
      <c r="F207" s="159" t="e">
        <f t="shared" si="26"/>
        <v>#DIV/0!</v>
      </c>
      <c r="G207" s="159" t="e">
        <f t="shared" si="26"/>
        <v>#DIV/0!</v>
      </c>
      <c r="H207" s="159" t="e">
        <f t="shared" si="26"/>
        <v>#DIV/0!</v>
      </c>
    </row>
    <row r="208" spans="3:10" x14ac:dyDescent="0.3">
      <c r="C208" s="102" t="s">
        <v>54</v>
      </c>
      <c r="D208" s="133" t="s">
        <v>272</v>
      </c>
      <c r="E208" s="45" t="e">
        <f>SUM(E199:E207)</f>
        <v>#DIV/0!</v>
      </c>
      <c r="F208" s="45" t="e">
        <f t="shared" ref="F208:H208" si="27">SUM(F199:F207)</f>
        <v>#DIV/0!</v>
      </c>
      <c r="G208" s="45" t="e">
        <f t="shared" si="27"/>
        <v>#DIV/0!</v>
      </c>
      <c r="H208" s="45" t="e">
        <f t="shared" si="27"/>
        <v>#DIV/0!</v>
      </c>
      <c r="J208" s="45" t="e">
        <f>SUM(E208:H208)</f>
        <v>#DIV/0!</v>
      </c>
    </row>
    <row r="210" spans="3:10" x14ac:dyDescent="0.3">
      <c r="C210" s="51" t="s">
        <v>551</v>
      </c>
    </row>
    <row r="211" spans="3:10" x14ac:dyDescent="0.3">
      <c r="C211" s="209" t="s">
        <v>14</v>
      </c>
      <c r="D211" s="207" t="s">
        <v>69</v>
      </c>
      <c r="E211" s="159" t="e">
        <f t="shared" ref="E211:E219" si="28">E199*$J78</f>
        <v>#DIV/0!</v>
      </c>
      <c r="F211" s="159" t="e">
        <f t="shared" ref="F211:H211" si="29">F199*$J78</f>
        <v>#DIV/0!</v>
      </c>
      <c r="G211" s="159" t="e">
        <f t="shared" si="29"/>
        <v>#DIV/0!</v>
      </c>
      <c r="H211" s="159" t="e">
        <f t="shared" si="29"/>
        <v>#DIV/0!</v>
      </c>
    </row>
    <row r="212" spans="3:10" x14ac:dyDescent="0.3">
      <c r="C212" s="213" t="s">
        <v>15</v>
      </c>
      <c r="D212" s="207" t="s">
        <v>69</v>
      </c>
      <c r="E212" s="42">
        <f t="shared" si="28"/>
        <v>0</v>
      </c>
      <c r="F212" s="42">
        <f t="shared" ref="F212:H219" si="30">F200*$J79</f>
        <v>0</v>
      </c>
      <c r="G212" s="42">
        <f t="shared" si="30"/>
        <v>0</v>
      </c>
      <c r="H212" s="42">
        <f t="shared" si="30"/>
        <v>0</v>
      </c>
    </row>
    <row r="213" spans="3:10" x14ac:dyDescent="0.3">
      <c r="C213" s="210" t="s">
        <v>16</v>
      </c>
      <c r="D213" s="207" t="s">
        <v>69</v>
      </c>
      <c r="E213" s="42">
        <f t="shared" si="28"/>
        <v>0</v>
      </c>
      <c r="F213" s="42">
        <f t="shared" si="30"/>
        <v>0</v>
      </c>
      <c r="G213" s="42">
        <f t="shared" si="30"/>
        <v>0</v>
      </c>
      <c r="H213" s="42">
        <f t="shared" si="30"/>
        <v>0</v>
      </c>
    </row>
    <row r="214" spans="3:10" x14ac:dyDescent="0.3">
      <c r="C214" s="210" t="s">
        <v>17</v>
      </c>
      <c r="D214" s="207" t="s">
        <v>69</v>
      </c>
      <c r="E214" s="42">
        <f t="shared" si="28"/>
        <v>0</v>
      </c>
      <c r="F214" s="42">
        <f t="shared" si="30"/>
        <v>0</v>
      </c>
      <c r="G214" s="42">
        <f t="shared" si="30"/>
        <v>0</v>
      </c>
      <c r="H214" s="42">
        <f t="shared" si="30"/>
        <v>0</v>
      </c>
    </row>
    <row r="215" spans="3:10" x14ac:dyDescent="0.3">
      <c r="C215" s="210" t="s">
        <v>18</v>
      </c>
      <c r="D215" s="207" t="s">
        <v>69</v>
      </c>
      <c r="E215" s="42">
        <f t="shared" si="28"/>
        <v>0</v>
      </c>
      <c r="F215" s="42">
        <f t="shared" si="30"/>
        <v>0</v>
      </c>
      <c r="G215" s="42">
        <f t="shared" si="30"/>
        <v>0</v>
      </c>
      <c r="H215" s="42">
        <f t="shared" si="30"/>
        <v>0</v>
      </c>
    </row>
    <row r="216" spans="3:10" x14ac:dyDescent="0.3">
      <c r="C216" s="210" t="s">
        <v>19</v>
      </c>
      <c r="D216" s="207" t="s">
        <v>69</v>
      </c>
      <c r="E216" s="42">
        <f t="shared" si="28"/>
        <v>0</v>
      </c>
      <c r="F216" s="42">
        <f t="shared" si="30"/>
        <v>0</v>
      </c>
      <c r="G216" s="42">
        <f t="shared" si="30"/>
        <v>0</v>
      </c>
      <c r="H216" s="42">
        <f t="shared" si="30"/>
        <v>0</v>
      </c>
    </row>
    <row r="217" spans="3:10" x14ac:dyDescent="0.3">
      <c r="C217" s="213" t="s">
        <v>20</v>
      </c>
      <c r="D217" s="207" t="s">
        <v>69</v>
      </c>
      <c r="E217" s="42">
        <f t="shared" si="28"/>
        <v>0</v>
      </c>
      <c r="F217" s="42">
        <f t="shared" si="30"/>
        <v>0</v>
      </c>
      <c r="G217" s="42">
        <f t="shared" si="30"/>
        <v>0</v>
      </c>
      <c r="H217" s="42">
        <f t="shared" si="30"/>
        <v>0</v>
      </c>
    </row>
    <row r="218" spans="3:10" x14ac:dyDescent="0.3">
      <c r="C218" s="213" t="s">
        <v>21</v>
      </c>
      <c r="D218" s="207" t="s">
        <v>69</v>
      </c>
      <c r="E218" s="159" t="e">
        <f t="shared" si="28"/>
        <v>#DIV/0!</v>
      </c>
      <c r="F218" s="159" t="e">
        <f t="shared" si="30"/>
        <v>#DIV/0!</v>
      </c>
      <c r="G218" s="159" t="e">
        <f t="shared" si="30"/>
        <v>#DIV/0!</v>
      </c>
      <c r="H218" s="159" t="e">
        <f t="shared" si="30"/>
        <v>#DIV/0!</v>
      </c>
    </row>
    <row r="219" spans="3:10" x14ac:dyDescent="0.3">
      <c r="C219" s="213" t="s">
        <v>22</v>
      </c>
      <c r="D219" s="207" t="s">
        <v>69</v>
      </c>
      <c r="E219" s="159" t="e">
        <f t="shared" si="28"/>
        <v>#DIV/0!</v>
      </c>
      <c r="F219" s="159" t="e">
        <f t="shared" si="30"/>
        <v>#DIV/0!</v>
      </c>
      <c r="G219" s="159" t="e">
        <f t="shared" si="30"/>
        <v>#DIV/0!</v>
      </c>
      <c r="H219" s="159" t="e">
        <f t="shared" si="30"/>
        <v>#DIV/0!</v>
      </c>
    </row>
    <row r="220" spans="3:10" x14ac:dyDescent="0.3">
      <c r="C220" s="216" t="s">
        <v>54</v>
      </c>
      <c r="D220" s="207" t="s">
        <v>69</v>
      </c>
      <c r="E220" s="45" t="e">
        <f>SUM(E211:E219)</f>
        <v>#DIV/0!</v>
      </c>
      <c r="F220" s="45" t="e">
        <f>SUM(F211:F219)</f>
        <v>#DIV/0!</v>
      </c>
      <c r="G220" s="45" t="e">
        <f>SUM(G211:G219)</f>
        <v>#DIV/0!</v>
      </c>
      <c r="H220" s="45" t="e">
        <f>SUM(H211:H219)</f>
        <v>#DIV/0!</v>
      </c>
      <c r="J220" s="45" t="e">
        <f>SUM(E220:H220)</f>
        <v>#DIV/0!</v>
      </c>
    </row>
  </sheetData>
  <sheetProtection algorithmName="SHA-512" hashValue="RqMOy8XQkhawbt7DubC3+rpbWHu9QSYPDrpgZEwFg7n1jUwnVfLveVcRamRg/bPIa2/+hTAGeHJKBUPXgINg+w==" saltValue="wA7oAQIOeHrjsyePUmYM4w==" spinCount="100000" sheet="1" objects="1" scenarios="1"/>
  <mergeCells count="6">
    <mergeCell ref="E6:F6"/>
    <mergeCell ref="G6:H6"/>
    <mergeCell ref="E18:F18"/>
    <mergeCell ref="G18:H18"/>
    <mergeCell ref="E90:F90"/>
    <mergeCell ref="G90:H90"/>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1EC3-061D-46B8-A1C6-2879F0B5A2AF}">
  <sheetPr>
    <tabColor theme="4" tint="0.59999389629810485"/>
  </sheetPr>
  <dimension ref="B2:AN220"/>
  <sheetViews>
    <sheetView zoomScaleNormal="100" workbookViewId="0">
      <pane ySplit="7" topLeftCell="A8" activePane="bottomLeft" state="frozen"/>
      <selection activeCell="B1" sqref="B1"/>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16384" width="8.85546875" style="17"/>
  </cols>
  <sheetData>
    <row r="2" spans="2:24" s="16" customFormat="1" ht="17.25" x14ac:dyDescent="0.3">
      <c r="C2" s="16" t="s">
        <v>145</v>
      </c>
      <c r="D2" s="16" t="s">
        <v>146</v>
      </c>
      <c r="M2" s="201"/>
    </row>
    <row r="3" spans="2:24" x14ac:dyDescent="0.3">
      <c r="M3" s="169"/>
    </row>
    <row r="4" spans="2:24" ht="20.25" x14ac:dyDescent="0.35">
      <c r="B4" s="77"/>
      <c r="C4" s="81" t="s">
        <v>730</v>
      </c>
      <c r="D4" s="76"/>
    </row>
    <row r="5" spans="2:24" s="18" customFormat="1" ht="17.25" thickBot="1" x14ac:dyDescent="0.35">
      <c r="B5" s="19" t="s">
        <v>153</v>
      </c>
      <c r="C5" s="19" t="s">
        <v>154</v>
      </c>
      <c r="D5" s="19" t="s">
        <v>32</v>
      </c>
      <c r="E5" s="19" t="s">
        <v>155</v>
      </c>
      <c r="F5" s="19"/>
      <c r="G5" s="19" t="s">
        <v>155</v>
      </c>
      <c r="H5" s="19"/>
      <c r="I5" s="19"/>
      <c r="J5" s="56" t="s">
        <v>156</v>
      </c>
      <c r="K5" s="56"/>
    </row>
    <row r="6" spans="2:24" s="30" customFormat="1" ht="18" thickTop="1" thickBot="1" x14ac:dyDescent="0.35">
      <c r="B6" s="28"/>
      <c r="C6" s="29" t="s">
        <v>157</v>
      </c>
      <c r="D6" s="29"/>
      <c r="E6" s="335" t="s">
        <v>5</v>
      </c>
      <c r="F6" s="335"/>
      <c r="G6" s="335" t="s">
        <v>6</v>
      </c>
      <c r="H6" s="335"/>
      <c r="I6" s="28"/>
      <c r="J6" s="28"/>
      <c r="K6" s="57"/>
    </row>
    <row r="7" spans="2:24" ht="18" thickTop="1" thickBot="1" x14ac:dyDescent="0.35">
      <c r="B7" s="19"/>
      <c r="C7" s="29" t="s">
        <v>158</v>
      </c>
      <c r="D7" s="29"/>
      <c r="E7" s="29" t="s">
        <v>7</v>
      </c>
      <c r="F7" s="29" t="s">
        <v>8</v>
      </c>
      <c r="G7" s="29" t="s">
        <v>7</v>
      </c>
      <c r="H7" s="29" t="s">
        <v>8</v>
      </c>
      <c r="I7" s="19"/>
      <c r="J7" s="19"/>
      <c r="K7" s="56"/>
    </row>
    <row r="8" spans="2:24" ht="17.25" thickTop="1" x14ac:dyDescent="0.3">
      <c r="C8" s="49" t="s">
        <v>717</v>
      </c>
    </row>
    <row r="9" spans="2:24" x14ac:dyDescent="0.3">
      <c r="C9" s="14" t="s">
        <v>100</v>
      </c>
      <c r="D9" s="15" t="s">
        <v>188</v>
      </c>
      <c r="E9" s="25">
        <v>50</v>
      </c>
      <c r="F9" s="148" t="s">
        <v>718</v>
      </c>
      <c r="G9" s="97">
        <f>J9*E9%</f>
        <v>1.75</v>
      </c>
      <c r="H9" s="26" t="s">
        <v>211</v>
      </c>
      <c r="I9" s="148" t="s">
        <v>719</v>
      </c>
      <c r="J9" s="83">
        <f>'Model homes'!E79</f>
        <v>3.5</v>
      </c>
      <c r="K9" s="26" t="s">
        <v>211</v>
      </c>
      <c r="M9" s="129"/>
      <c r="N9" s="129"/>
      <c r="O9" s="129"/>
      <c r="P9" s="129"/>
    </row>
    <row r="11" spans="2:24" x14ac:dyDescent="0.3">
      <c r="C11" s="51" t="s">
        <v>723</v>
      </c>
    </row>
    <row r="12" spans="2:24" x14ac:dyDescent="0.3">
      <c r="C12" s="14" t="s">
        <v>100</v>
      </c>
      <c r="D12" s="15" t="s">
        <v>191</v>
      </c>
      <c r="E12" s="42">
        <f>$G9/'Model homes'!$E$83*'Model homes'!E$86*(1-$J12%)</f>
        <v>63.391253333333317</v>
      </c>
      <c r="F12" s="42">
        <f>$G9/'Model homes'!$E$83*'Model homes'!F$86*(1-$J12%)</f>
        <v>63.391253333333317</v>
      </c>
      <c r="G12" s="42">
        <f>$G9/'Model homes'!$E$83*'Model homes'!G$86*(1-$J12%)</f>
        <v>47.54343999999999</v>
      </c>
      <c r="H12" s="42">
        <f>$G9/'Model homes'!$E$83*'Model homes'!H$86*(1-$J12%)</f>
        <v>47.54343999999999</v>
      </c>
      <c r="J12" s="25">
        <f>100/3</f>
        <v>33.333333333333336</v>
      </c>
      <c r="K12" s="17" t="s">
        <v>731</v>
      </c>
    </row>
    <row r="13" spans="2:24" x14ac:dyDescent="0.3">
      <c r="C13" s="84" t="s">
        <v>302</v>
      </c>
      <c r="D13" s="84" t="s">
        <v>301</v>
      </c>
      <c r="E13" s="94">
        <f>'Model homes'!$E169</f>
        <v>0.04</v>
      </c>
      <c r="F13" s="94">
        <f>'Model homes'!$E169</f>
        <v>0.04</v>
      </c>
      <c r="G13" s="94">
        <f>'Model homes'!$E169</f>
        <v>0.04</v>
      </c>
      <c r="H13" s="94">
        <f>'Model homes'!$E169</f>
        <v>0.04</v>
      </c>
    </row>
    <row r="14" spans="2:24" x14ac:dyDescent="0.3">
      <c r="C14" s="14" t="s">
        <v>511</v>
      </c>
      <c r="D14" s="84" t="s">
        <v>512</v>
      </c>
      <c r="E14" s="25">
        <v>3</v>
      </c>
      <c r="F14" s="91">
        <f>E14</f>
        <v>3</v>
      </c>
      <c r="G14" s="91">
        <f t="shared" ref="G14:H14" si="0">F14</f>
        <v>3</v>
      </c>
      <c r="H14" s="91">
        <f t="shared" si="0"/>
        <v>3</v>
      </c>
      <c r="V14" s="18"/>
      <c r="W14" s="18"/>
      <c r="X14" s="18"/>
    </row>
    <row r="15" spans="2:24" x14ac:dyDescent="0.3">
      <c r="C15" s="84"/>
    </row>
    <row r="16" spans="2:24" ht="20.25" x14ac:dyDescent="0.35">
      <c r="C16" s="81" t="s">
        <v>518</v>
      </c>
      <c r="D16" s="46"/>
      <c r="E16" s="55"/>
      <c r="F16" s="55"/>
      <c r="G16" s="55"/>
      <c r="H16" s="55"/>
      <c r="J16" s="26"/>
    </row>
    <row r="17" spans="2:24" s="18" customFormat="1" ht="17.25" thickBot="1" x14ac:dyDescent="0.35">
      <c r="B17" s="19" t="s">
        <v>153</v>
      </c>
      <c r="C17" s="19" t="s">
        <v>154</v>
      </c>
      <c r="D17" s="19" t="s">
        <v>32</v>
      </c>
      <c r="E17" s="19" t="s">
        <v>155</v>
      </c>
      <c r="F17" s="19"/>
      <c r="G17" s="19" t="s">
        <v>155</v>
      </c>
      <c r="H17" s="19"/>
      <c r="I17" s="19"/>
      <c r="J17" s="56" t="s">
        <v>156</v>
      </c>
      <c r="K17" s="56"/>
    </row>
    <row r="18" spans="2:24" s="30" customFormat="1" ht="18" thickTop="1" thickBot="1" x14ac:dyDescent="0.35">
      <c r="B18" s="28"/>
      <c r="C18" s="29" t="s">
        <v>157</v>
      </c>
      <c r="D18" s="29"/>
      <c r="E18" s="335" t="s">
        <v>5</v>
      </c>
      <c r="F18" s="335"/>
      <c r="G18" s="335" t="s">
        <v>6</v>
      </c>
      <c r="H18" s="335"/>
      <c r="I18" s="28"/>
      <c r="J18" s="28"/>
      <c r="K18" s="57"/>
      <c r="M18" s="20"/>
    </row>
    <row r="19" spans="2:24" ht="18" thickTop="1" thickBot="1" x14ac:dyDescent="0.35">
      <c r="B19" s="19"/>
      <c r="C19" s="29" t="s">
        <v>158</v>
      </c>
      <c r="D19" s="29"/>
      <c r="E19" s="29" t="s">
        <v>7</v>
      </c>
      <c r="F19" s="29" t="s">
        <v>8</v>
      </c>
      <c r="G19" s="29" t="s">
        <v>7</v>
      </c>
      <c r="H19" s="29" t="s">
        <v>8</v>
      </c>
      <c r="I19" s="19"/>
      <c r="J19" s="19"/>
      <c r="K19" s="56"/>
      <c r="M19" s="82"/>
      <c r="N19" s="82"/>
    </row>
    <row r="20" spans="2:24" ht="17.25" thickTop="1" x14ac:dyDescent="0.3">
      <c r="C20" s="51" t="s">
        <v>724</v>
      </c>
      <c r="D20" s="84"/>
      <c r="E20" s="91"/>
      <c r="F20" s="91"/>
      <c r="G20" s="91"/>
      <c r="H20" s="91"/>
    </row>
    <row r="21" spans="2:24" x14ac:dyDescent="0.3">
      <c r="C21" s="20" t="s">
        <v>14</v>
      </c>
      <c r="D21" s="15" t="s">
        <v>191</v>
      </c>
      <c r="E21" s="42">
        <f>E$12/'Model homes'!E$86*'Model homes'!E95</f>
        <v>99.334747491408891</v>
      </c>
      <c r="F21" s="42">
        <f>F$12/'Model homes'!F$86*'Model homes'!F95</f>
        <v>98.321127619047573</v>
      </c>
      <c r="G21" s="42">
        <f>G$12/'Model homes'!G$86*'Model homes'!G95</f>
        <v>111.261452371134</v>
      </c>
      <c r="H21" s="42">
        <f>H$12/'Model homes'!H$86*'Model homes'!H95</f>
        <v>110.12613142857141</v>
      </c>
      <c r="J21" s="26"/>
    </row>
    <row r="22" spans="2:24" x14ac:dyDescent="0.3">
      <c r="C22" s="14" t="s">
        <v>15</v>
      </c>
      <c r="D22" s="15" t="s">
        <v>191</v>
      </c>
      <c r="E22" s="42">
        <f>E$12/'Model homes'!E$86*'Model homes'!E96</f>
        <v>148.23800779487172</v>
      </c>
      <c r="F22" s="42">
        <f>F$12/'Model homes'!F$86*'Model homes'!F96</f>
        <v>137.64957866666663</v>
      </c>
      <c r="G22" s="42">
        <f>G$12/'Model homes'!G$86*'Model homes'!G96</f>
        <v>161.08001313432831</v>
      </c>
      <c r="H22" s="42">
        <f>H$12/'Model homes'!H$86*'Model homes'!H96</f>
        <v>154.17658399999999</v>
      </c>
      <c r="J22" s="26"/>
    </row>
    <row r="23" spans="2:24" x14ac:dyDescent="0.3">
      <c r="C23" s="15" t="s">
        <v>16</v>
      </c>
      <c r="D23" s="15" t="s">
        <v>191</v>
      </c>
      <c r="E23" s="42">
        <f>E$12/'Model homes'!E$86*'Model homes'!E97</f>
        <v>120.44338133333328</v>
      </c>
      <c r="F23" s="42">
        <f>F$12/'Model homes'!F$86*'Model homes'!F97</f>
        <v>114.70798222222218</v>
      </c>
      <c r="G23" s="42">
        <f>G$12/'Model homes'!G$86*'Model homes'!G97</f>
        <v>131.61415707317073</v>
      </c>
      <c r="H23" s="42">
        <f>H$12/'Model homes'!H$86*'Model homes'!H97</f>
        <v>128.48048666666665</v>
      </c>
      <c r="J23" s="26"/>
    </row>
    <row r="24" spans="2:24" x14ac:dyDescent="0.3">
      <c r="C24" s="15" t="s">
        <v>17</v>
      </c>
      <c r="D24" s="15" t="s">
        <v>191</v>
      </c>
      <c r="E24" s="42">
        <f>E$12/'Model homes'!E$86*'Model homes'!E98</f>
        <v>148.23800779487172</v>
      </c>
      <c r="F24" s="42">
        <f>F$12/'Model homes'!F$86*'Model homes'!F98</f>
        <v>137.64957866666663</v>
      </c>
      <c r="G24" s="42">
        <f>G$12/'Model homes'!G$86*'Model homes'!G98</f>
        <v>166.0363212307692</v>
      </c>
      <c r="H24" s="42">
        <f>H$12/'Model homes'!H$86*'Model homes'!H98</f>
        <v>154.17658399999999</v>
      </c>
      <c r="J24" s="26"/>
    </row>
    <row r="25" spans="2:24" x14ac:dyDescent="0.3">
      <c r="C25" s="15" t="s">
        <v>18</v>
      </c>
      <c r="D25" s="15" t="s">
        <v>191</v>
      </c>
      <c r="E25" s="42">
        <f>E$12/'Model homes'!E$86*'Model homes'!E99</f>
        <v>120.44338133333328</v>
      </c>
      <c r="F25" s="42">
        <f>F$12/'Model homes'!F$86*'Model homes'!F99</f>
        <v>113.35847654901956</v>
      </c>
      <c r="G25" s="42">
        <f>G$12/'Model homes'!G$86*'Model homes'!G99</f>
        <v>134.90451099999999</v>
      </c>
      <c r="H25" s="42">
        <f>H$12/'Model homes'!H$86*'Model homes'!H99</f>
        <v>126.96895152941175</v>
      </c>
      <c r="J25" s="26"/>
    </row>
    <row r="26" spans="2:24" x14ac:dyDescent="0.3">
      <c r="C26" s="15" t="s">
        <v>19</v>
      </c>
      <c r="D26" s="15" t="s">
        <v>191</v>
      </c>
      <c r="E26" s="42">
        <f>E$12/'Model homes'!E$86*'Model homes'!E100</f>
        <v>120.44338133333328</v>
      </c>
      <c r="F26" s="42">
        <f>F$12/'Model homes'!F$86*'Model homes'!F100</f>
        <v>112.04035472868213</v>
      </c>
      <c r="G26" s="42">
        <f>G$12/'Model homes'!G$86*'Model homes'!G100</f>
        <v>134.90451099999999</v>
      </c>
      <c r="H26" s="42">
        <f>H$12/'Model homes'!H$86*'Model homes'!H100</f>
        <v>125.492568372093</v>
      </c>
      <c r="J26" s="26"/>
    </row>
    <row r="27" spans="2:24" x14ac:dyDescent="0.3">
      <c r="C27" s="14" t="s">
        <v>20</v>
      </c>
      <c r="D27" s="15" t="s">
        <v>191</v>
      </c>
      <c r="E27" s="42">
        <f>E$12/'Model homes'!E$86*'Model homes'!E101</f>
        <v>113.35847654901956</v>
      </c>
      <c r="F27" s="42">
        <f>F$12/'Model homes'!F$86*'Model homes'!F101</f>
        <v>110.75253455938693</v>
      </c>
      <c r="G27" s="42">
        <f>G$12/'Model homes'!G$86*'Model homes'!G101</f>
        <v>124.05012505747123</v>
      </c>
      <c r="H27" s="42">
        <f>H$12/'Model homes'!H$86*'Model homes'!H101</f>
        <v>124.05012505747123</v>
      </c>
      <c r="J27" s="26"/>
    </row>
    <row r="28" spans="2:24" x14ac:dyDescent="0.3">
      <c r="C28" s="14" t="s">
        <v>21</v>
      </c>
      <c r="D28" s="15" t="s">
        <v>191</v>
      </c>
      <c r="E28" s="42">
        <f>E$12/'Model homes'!E$86*'Model homes'!E102</f>
        <v>63.39125333333331</v>
      </c>
      <c r="F28" s="42">
        <f>F$12/'Model homes'!F$86*'Model homes'!F102</f>
        <v>63.39125333333331</v>
      </c>
      <c r="G28" s="42">
        <f>G$12/'Model homes'!G$86*'Model homes'!G102</f>
        <v>47.54343999999999</v>
      </c>
      <c r="H28" s="42">
        <f>H$12/'Model homes'!H$86*'Model homes'!H102</f>
        <v>47.54343999999999</v>
      </c>
      <c r="J28" s="17" t="s">
        <v>478</v>
      </c>
    </row>
    <row r="29" spans="2:24" x14ac:dyDescent="0.3">
      <c r="C29" s="14" t="s">
        <v>22</v>
      </c>
      <c r="D29" s="15" t="s">
        <v>191</v>
      </c>
      <c r="E29" s="42">
        <f>E$12/'Model homes'!E$86*'Model homes'!E103</f>
        <v>33.250470884228257</v>
      </c>
      <c r="F29" s="42">
        <f>F$12/'Model homes'!F$86*'Model homes'!F103</f>
        <v>29.543064561295918</v>
      </c>
      <c r="G29" s="42">
        <f>G$12/'Model homes'!G$86*'Model homes'!G103</f>
        <v>33.090175931319941</v>
      </c>
      <c r="H29" s="42">
        <f>H$12/'Model homes'!H$86*'Model homes'!H103</f>
        <v>30.745327982880667</v>
      </c>
      <c r="J29" s="202">
        <f>AVERAGE(E21:H29)</f>
        <v>109.18888790525951</v>
      </c>
      <c r="K29" s="45"/>
    </row>
    <row r="30" spans="2:24" x14ac:dyDescent="0.3">
      <c r="C30" s="96"/>
      <c r="D30" s="84"/>
      <c r="E30" s="91"/>
      <c r="F30" s="91"/>
      <c r="G30" s="91"/>
      <c r="H30" s="91"/>
      <c r="V30" s="42"/>
      <c r="W30" s="99"/>
      <c r="X30" s="99"/>
    </row>
    <row r="31" spans="2:24" x14ac:dyDescent="0.3">
      <c r="C31" s="51" t="s">
        <v>515</v>
      </c>
      <c r="D31" s="84"/>
      <c r="E31" s="91"/>
      <c r="F31" s="91"/>
      <c r="G31" s="91"/>
      <c r="H31" s="91"/>
    </row>
    <row r="32" spans="2:24" x14ac:dyDescent="0.3">
      <c r="C32" s="20" t="s">
        <v>14</v>
      </c>
      <c r="D32" s="15" t="s">
        <v>299</v>
      </c>
      <c r="E32" s="42" t="e">
        <f>'Model homes'!E$127*E21*10^-3</f>
        <v>#VALUE!</v>
      </c>
      <c r="F32" s="42" t="e">
        <f>'Model homes'!F$127*F21*10^-3</f>
        <v>#VALUE!</v>
      </c>
      <c r="G32" s="42" t="e">
        <f>'Model homes'!G$127*G21*10^-3</f>
        <v>#VALUE!</v>
      </c>
      <c r="H32" s="42" t="e">
        <f>'Model homes'!H$127*H21*10^-3</f>
        <v>#VALUE!</v>
      </c>
      <c r="J32" s="26" t="s">
        <v>516</v>
      </c>
    </row>
    <row r="33" spans="3:11" x14ac:dyDescent="0.3">
      <c r="C33" s="14" t="s">
        <v>15</v>
      </c>
      <c r="D33" s="15" t="s">
        <v>299</v>
      </c>
      <c r="E33" s="42" t="e">
        <f>E22*'Model homes'!E131/100</f>
        <v>#VALUE!</v>
      </c>
      <c r="F33" s="42" t="e">
        <f>F22*'Model homes'!F131/100</f>
        <v>#VALUE!</v>
      </c>
      <c r="G33" s="42" t="e">
        <f>G22*'Model homes'!G131/100</f>
        <v>#VALUE!</v>
      </c>
      <c r="H33" s="42" t="e">
        <f>H22*'Model homes'!H131/100</f>
        <v>#VALUE!</v>
      </c>
      <c r="J33" s="26"/>
    </row>
    <row r="34" spans="3:11" x14ac:dyDescent="0.3">
      <c r="C34" s="15" t="s">
        <v>16</v>
      </c>
      <c r="D34" s="15" t="s">
        <v>299</v>
      </c>
      <c r="E34" s="42" t="e">
        <f>E23*'Model homes'!E133/100</f>
        <v>#VALUE!</v>
      </c>
      <c r="F34" s="42" t="e">
        <f>F23*'Model homes'!F133/100</f>
        <v>#VALUE!</v>
      </c>
      <c r="G34" s="42" t="e">
        <f>G23*'Model homes'!G133/100</f>
        <v>#VALUE!</v>
      </c>
      <c r="H34" s="42" t="e">
        <f>H23*'Model homes'!H133/100</f>
        <v>#VALUE!</v>
      </c>
      <c r="J34" s="26"/>
    </row>
    <row r="35" spans="3:11" x14ac:dyDescent="0.3">
      <c r="C35" s="15" t="s">
        <v>17</v>
      </c>
      <c r="D35" s="15" t="s">
        <v>299</v>
      </c>
      <c r="E35" s="42" t="e">
        <f>E24*'Model homes'!E135/100</f>
        <v>#VALUE!</v>
      </c>
      <c r="F35" s="42" t="e">
        <f>F24*'Model homes'!F135/100</f>
        <v>#VALUE!</v>
      </c>
      <c r="G35" s="42" t="e">
        <f>G24*'Model homes'!G135/100</f>
        <v>#VALUE!</v>
      </c>
      <c r="H35" s="42" t="e">
        <f>H24*'Model homes'!H135/100</f>
        <v>#VALUE!</v>
      </c>
      <c r="J35" s="26"/>
    </row>
    <row r="36" spans="3:11" x14ac:dyDescent="0.3">
      <c r="C36" s="15" t="s">
        <v>18</v>
      </c>
      <c r="D36" s="15" t="s">
        <v>299</v>
      </c>
      <c r="E36" s="42" t="e">
        <f>E25*'Model homes'!E137/100</f>
        <v>#VALUE!</v>
      </c>
      <c r="F36" s="42" t="e">
        <f>F25*'Model homes'!F137/100</f>
        <v>#VALUE!</v>
      </c>
      <c r="G36" s="42" t="e">
        <f>G25*'Model homes'!G137/100</f>
        <v>#VALUE!</v>
      </c>
      <c r="H36" s="42" t="e">
        <f>H25*'Model homes'!H137/100</f>
        <v>#VALUE!</v>
      </c>
      <c r="J36" s="26"/>
    </row>
    <row r="37" spans="3:11" x14ac:dyDescent="0.3">
      <c r="C37" s="15" t="s">
        <v>19</v>
      </c>
      <c r="D37" s="15" t="s">
        <v>299</v>
      </c>
      <c r="E37" s="42" t="e">
        <f>E26*'Model homes'!E139/100</f>
        <v>#VALUE!</v>
      </c>
      <c r="F37" s="42" t="e">
        <f>F26*'Model homes'!F139/100</f>
        <v>#VALUE!</v>
      </c>
      <c r="G37" s="42" t="e">
        <f>G26*'Model homes'!G139/100</f>
        <v>#VALUE!</v>
      </c>
      <c r="H37" s="42" t="e">
        <f>H26*'Model homes'!H139/100</f>
        <v>#VALUE!</v>
      </c>
      <c r="J37" s="26"/>
    </row>
    <row r="38" spans="3:11" x14ac:dyDescent="0.3">
      <c r="C38" s="14" t="s">
        <v>20</v>
      </c>
      <c r="D38" s="15" t="s">
        <v>299</v>
      </c>
      <c r="E38" s="42" t="e">
        <f>E27*'Model homes'!E140/100</f>
        <v>#VALUE!</v>
      </c>
      <c r="F38" s="42" t="e">
        <f>F27*'Model homes'!F140/100</f>
        <v>#VALUE!</v>
      </c>
      <c r="G38" s="42" t="e">
        <f>G27*'Model homes'!G140/100</f>
        <v>#VALUE!</v>
      </c>
      <c r="H38" s="42" t="e">
        <f>H27*'Model homes'!H140/100</f>
        <v>#VALUE!</v>
      </c>
      <c r="J38" s="26"/>
    </row>
    <row r="39" spans="3:11" x14ac:dyDescent="0.3">
      <c r="C39" s="14" t="s">
        <v>21</v>
      </c>
      <c r="D39" s="15" t="s">
        <v>299</v>
      </c>
      <c r="E39" s="42" t="e">
        <f>E28*'Model homes'!E141/100</f>
        <v>#VALUE!</v>
      </c>
      <c r="F39" s="42" t="e">
        <f>F28*'Model homes'!F141/100</f>
        <v>#VALUE!</v>
      </c>
      <c r="G39" s="42" t="e">
        <f>G28*'Model homes'!G141/100</f>
        <v>#VALUE!</v>
      </c>
      <c r="H39" s="42" t="e">
        <f>H28*'Model homes'!H141/100</f>
        <v>#VALUE!</v>
      </c>
      <c r="J39" s="26"/>
      <c r="K39" s="17" t="s">
        <v>478</v>
      </c>
    </row>
    <row r="40" spans="3:11" x14ac:dyDescent="0.3">
      <c r="C40" s="14" t="s">
        <v>22</v>
      </c>
      <c r="D40" s="15" t="s">
        <v>299</v>
      </c>
      <c r="E40" s="42" t="e">
        <f>E29*'Model homes'!E142/100</f>
        <v>#VALUE!</v>
      </c>
      <c r="F40" s="42" t="e">
        <f>F29*'Model homes'!F142/100</f>
        <v>#VALUE!</v>
      </c>
      <c r="G40" s="42" t="e">
        <f>G29*'Model homes'!G142/100</f>
        <v>#VALUE!</v>
      </c>
      <c r="H40" s="42" t="e">
        <f>H29*'Model homes'!H142/100</f>
        <v>#VALUE!</v>
      </c>
      <c r="J40" s="45" t="e">
        <f>ROUND(MIN(E32:H40),0)&amp;" - "&amp;ROUND(MAX(E32:H40),0)</f>
        <v>#VALUE!</v>
      </c>
      <c r="K40" s="142" t="e">
        <f>AVERAGE(E32:H40)</f>
        <v>#VALUE!</v>
      </c>
    </row>
    <row r="41" spans="3:11" x14ac:dyDescent="0.3">
      <c r="C41" s="20"/>
      <c r="D41" s="15"/>
      <c r="E41" s="42"/>
      <c r="F41" s="55"/>
      <c r="G41" s="42"/>
      <c r="H41" s="42"/>
      <c r="J41" s="26"/>
    </row>
    <row r="42" spans="3:11" x14ac:dyDescent="0.3">
      <c r="C42" s="51" t="s">
        <v>517</v>
      </c>
      <c r="D42" s="84"/>
      <c r="E42" s="91"/>
      <c r="F42" s="91"/>
      <c r="G42" s="91"/>
      <c r="H42" s="91"/>
      <c r="J42" s="51" t="s">
        <v>509</v>
      </c>
    </row>
    <row r="43" spans="3:11" x14ac:dyDescent="0.3">
      <c r="C43" s="20" t="s">
        <v>14</v>
      </c>
      <c r="D43" s="15" t="s">
        <v>299</v>
      </c>
      <c r="E43" s="55" t="e">
        <f>-PMT(E$13,E$14,E32*$J43)</f>
        <v>#VALUE!</v>
      </c>
      <c r="F43" s="55" t="e">
        <f t="shared" ref="F43:H43" si="1">-PMT(F$13,F$14,F32*$J43)</f>
        <v>#VALUE!</v>
      </c>
      <c r="G43" s="55" t="e">
        <f t="shared" si="1"/>
        <v>#VALUE!</v>
      </c>
      <c r="H43" s="55" t="e">
        <f t="shared" si="1"/>
        <v>#VALUE!</v>
      </c>
      <c r="J43" s="63">
        <f>(1-(((1+'Model homes'!$E159)/(1+E$13))^E$14))/(E$13-'Model homes'!$E159)</f>
        <v>2.8432103792103223</v>
      </c>
    </row>
    <row r="44" spans="3:11" x14ac:dyDescent="0.3">
      <c r="C44" s="14" t="s">
        <v>15</v>
      </c>
      <c r="D44" s="15" t="s">
        <v>299</v>
      </c>
      <c r="E44" s="55" t="e">
        <f t="shared" ref="E44:H51" si="2">-PMT(E$13,E$14,E33*$J44)</f>
        <v>#VALUE!</v>
      </c>
      <c r="F44" s="55" t="e">
        <f t="shared" si="2"/>
        <v>#VALUE!</v>
      </c>
      <c r="G44" s="55" t="e">
        <f t="shared" si="2"/>
        <v>#VALUE!</v>
      </c>
      <c r="H44" s="55" t="e">
        <f t="shared" si="2"/>
        <v>#VALUE!</v>
      </c>
      <c r="J44" s="63">
        <f>(1-(((1+'Model homes'!$E160)/(1+E$13))^E$14))/(E$13-'Model homes'!$E160)</f>
        <v>2.8294976103777958</v>
      </c>
    </row>
    <row r="45" spans="3:11" x14ac:dyDescent="0.3">
      <c r="C45" s="15" t="s">
        <v>16</v>
      </c>
      <c r="D45" s="15" t="s">
        <v>299</v>
      </c>
      <c r="E45" s="55" t="e">
        <f t="shared" si="2"/>
        <v>#VALUE!</v>
      </c>
      <c r="F45" s="55" t="e">
        <f t="shared" si="2"/>
        <v>#VALUE!</v>
      </c>
      <c r="G45" s="55" t="e">
        <f t="shared" si="2"/>
        <v>#VALUE!</v>
      </c>
      <c r="H45" s="55" t="e">
        <f t="shared" si="2"/>
        <v>#VALUE!</v>
      </c>
      <c r="J45" s="63">
        <f>(1-(((1+'Model homes'!$E161)/(1+E$13))^E$14))/(E$13-'Model homes'!$E161)</f>
        <v>2.8432103792103223</v>
      </c>
    </row>
    <row r="46" spans="3:11" x14ac:dyDescent="0.3">
      <c r="C46" s="15" t="s">
        <v>17</v>
      </c>
      <c r="D46" s="15" t="s">
        <v>299</v>
      </c>
      <c r="E46" s="55" t="e">
        <f t="shared" si="2"/>
        <v>#VALUE!</v>
      </c>
      <c r="F46" s="55" t="e">
        <f t="shared" si="2"/>
        <v>#VALUE!</v>
      </c>
      <c r="G46" s="55" t="e">
        <f t="shared" si="2"/>
        <v>#VALUE!</v>
      </c>
      <c r="H46" s="55" t="e">
        <f t="shared" si="2"/>
        <v>#VALUE!</v>
      </c>
      <c r="J46" s="63">
        <f>(1-(((1+'Model homes'!$E162)/(1+E$13))^E$14))/(E$13-'Model homes'!$E162)</f>
        <v>2.8432103792103223</v>
      </c>
    </row>
    <row r="47" spans="3:11" x14ac:dyDescent="0.3">
      <c r="C47" s="15" t="s">
        <v>18</v>
      </c>
      <c r="D47" s="15" t="s">
        <v>299</v>
      </c>
      <c r="E47" s="55" t="e">
        <f t="shared" si="2"/>
        <v>#VALUE!</v>
      </c>
      <c r="F47" s="55" t="e">
        <f t="shared" si="2"/>
        <v>#VALUE!</v>
      </c>
      <c r="G47" s="55" t="e">
        <f t="shared" si="2"/>
        <v>#VALUE!</v>
      </c>
      <c r="H47" s="55" t="e">
        <f t="shared" si="2"/>
        <v>#VALUE!</v>
      </c>
      <c r="J47" s="63">
        <f>(1-(((1+'Model homes'!$E163)/(1+E$13))^E$14))/(E$13-'Model homes'!$E163)</f>
        <v>2.8432103792103223</v>
      </c>
    </row>
    <row r="48" spans="3:11" x14ac:dyDescent="0.3">
      <c r="C48" s="15" t="s">
        <v>19</v>
      </c>
      <c r="D48" s="15" t="s">
        <v>299</v>
      </c>
      <c r="E48" s="55" t="e">
        <f t="shared" si="2"/>
        <v>#VALUE!</v>
      </c>
      <c r="F48" s="55" t="e">
        <f t="shared" si="2"/>
        <v>#VALUE!</v>
      </c>
      <c r="G48" s="55" t="e">
        <f t="shared" si="2"/>
        <v>#VALUE!</v>
      </c>
      <c r="H48" s="55" t="e">
        <f t="shared" si="2"/>
        <v>#VALUE!</v>
      </c>
      <c r="J48" s="63">
        <f>(1-(((1+'Model homes'!$E164)/(1+E$13))^E$14))/(E$13-'Model homes'!$E164)</f>
        <v>2.8432103792103223</v>
      </c>
    </row>
    <row r="49" spans="3:40" ht="15.95" customHeight="1" x14ac:dyDescent="0.3">
      <c r="C49" s="14" t="s">
        <v>20</v>
      </c>
      <c r="D49" s="15" t="s">
        <v>299</v>
      </c>
      <c r="E49" s="55" t="e">
        <f t="shared" si="2"/>
        <v>#VALUE!</v>
      </c>
      <c r="F49" s="55" t="e">
        <f t="shared" si="2"/>
        <v>#VALUE!</v>
      </c>
      <c r="G49" s="55" t="e">
        <f t="shared" si="2"/>
        <v>#VALUE!</v>
      </c>
      <c r="H49" s="55" t="e">
        <f t="shared" si="2"/>
        <v>#VALUE!</v>
      </c>
      <c r="J49" s="63">
        <f>(1-(((1+'Model homes'!$E165)/(1+E$13))^E$14))/(E$13-'Model homes'!$E165)</f>
        <v>2.8542125981452227</v>
      </c>
    </row>
    <row r="50" spans="3:40" ht="15.95" customHeight="1" x14ac:dyDescent="0.3">
      <c r="C50" s="14" t="s">
        <v>21</v>
      </c>
      <c r="D50" s="15" t="s">
        <v>299</v>
      </c>
      <c r="E50" s="55" t="e">
        <f t="shared" si="2"/>
        <v>#VALUE!</v>
      </c>
      <c r="F50" s="55" t="e">
        <f t="shared" si="2"/>
        <v>#VALUE!</v>
      </c>
      <c r="G50" s="55" t="e">
        <f t="shared" si="2"/>
        <v>#VALUE!</v>
      </c>
      <c r="H50" s="55" t="e">
        <f t="shared" si="2"/>
        <v>#VALUE!</v>
      </c>
      <c r="J50" s="63">
        <f>(1-(((1+'Model homes'!$E166)/(1+E$13))^E$14))/(E$13-'Model homes'!$E166)</f>
        <v>2.8432103792103223</v>
      </c>
    </row>
    <row r="51" spans="3:40" x14ac:dyDescent="0.3">
      <c r="C51" s="14" t="s">
        <v>22</v>
      </c>
      <c r="D51" s="15" t="s">
        <v>299</v>
      </c>
      <c r="E51" s="55" t="e">
        <f t="shared" si="2"/>
        <v>#VALUE!</v>
      </c>
      <c r="F51" s="55" t="e">
        <f t="shared" si="2"/>
        <v>#VALUE!</v>
      </c>
      <c r="G51" s="55" t="e">
        <f t="shared" si="2"/>
        <v>#VALUE!</v>
      </c>
      <c r="H51" s="55" t="e">
        <f t="shared" si="2"/>
        <v>#VALUE!</v>
      </c>
      <c r="J51" s="63">
        <f>(1-(((1+'Model homes'!$E167)/(1+E$13))^E$14))/(E$13-'Model homes'!$E167)</f>
        <v>2.8432103792103223</v>
      </c>
    </row>
    <row r="52" spans="3:40" x14ac:dyDescent="0.3">
      <c r="C52" s="20"/>
      <c r="D52" s="15"/>
      <c r="E52" s="42"/>
      <c r="F52" s="55"/>
      <c r="G52" s="42"/>
      <c r="H52" s="42"/>
      <c r="J52" s="26"/>
    </row>
    <row r="53" spans="3:40" x14ac:dyDescent="0.3">
      <c r="C53" s="51" t="s">
        <v>522</v>
      </c>
      <c r="D53" s="84"/>
      <c r="E53" s="90"/>
      <c r="F53" s="90"/>
      <c r="G53" s="90"/>
      <c r="H53" s="90"/>
      <c r="J53" s="51" t="s">
        <v>523</v>
      </c>
      <c r="R53" s="51" t="s">
        <v>524</v>
      </c>
      <c r="Z53" s="51" t="s">
        <v>525</v>
      </c>
      <c r="AH53" s="51" t="s">
        <v>526</v>
      </c>
    </row>
    <row r="54" spans="3:40" ht="15.95" customHeight="1" x14ac:dyDescent="0.3">
      <c r="C54" s="20" t="s">
        <v>14</v>
      </c>
      <c r="D54" s="84" t="s">
        <v>527</v>
      </c>
      <c r="E54" s="130" t="e">
        <f>E21*'Model homes'!$J110*10^-6</f>
        <v>#VALUE!</v>
      </c>
      <c r="F54" s="130" t="e">
        <f>F21*'Model homes'!$J110*10^-6</f>
        <v>#VALUE!</v>
      </c>
      <c r="G54" s="130" t="e">
        <f>G21*'Model homes'!$J110*10^-6</f>
        <v>#VALUE!</v>
      </c>
      <c r="H54" s="130" t="e">
        <f>H21*'Model homes'!$J110*10^-6</f>
        <v>#VALUE!</v>
      </c>
      <c r="J54" s="209" t="s">
        <v>14</v>
      </c>
      <c r="L54" s="207" t="s">
        <v>528</v>
      </c>
      <c r="M54" s="130" t="e">
        <f>'Model homes'!$E274*E21*10^-6</f>
        <v>#DIV/0!</v>
      </c>
      <c r="N54" s="130" t="e">
        <f>'Model homes'!$E274*F21*10^-6</f>
        <v>#DIV/0!</v>
      </c>
      <c r="O54" s="130" t="e">
        <f>'Model homes'!$E274*G21*10^-6</f>
        <v>#DIV/0!</v>
      </c>
      <c r="P54" s="130" t="e">
        <f>'Model homes'!$E274*H21*10^-6</f>
        <v>#DIV/0!</v>
      </c>
      <c r="R54" s="209" t="s">
        <v>14</v>
      </c>
      <c r="T54" s="207" t="s">
        <v>529</v>
      </c>
      <c r="U54" s="130" t="e">
        <f>'Model homes'!$F274*E21*10^-6</f>
        <v>#DIV/0!</v>
      </c>
      <c r="V54" s="130" t="e">
        <f>'Model homes'!$F274*F21*10^-6</f>
        <v>#DIV/0!</v>
      </c>
      <c r="W54" s="130" t="e">
        <f>'Model homes'!$F274*G21*10^-6</f>
        <v>#DIV/0!</v>
      </c>
      <c r="X54" s="130" t="e">
        <f>'Model homes'!$F274*H21*10^-6</f>
        <v>#DIV/0!</v>
      </c>
      <c r="Z54" s="209" t="s">
        <v>14</v>
      </c>
      <c r="AB54" s="207" t="s">
        <v>530</v>
      </c>
      <c r="AC54" s="130" t="e">
        <f>'Model homes'!$G274*E21*10^-6</f>
        <v>#DIV/0!</v>
      </c>
      <c r="AD54" s="130" t="e">
        <f>'Model homes'!$G274*F21*10^-6</f>
        <v>#DIV/0!</v>
      </c>
      <c r="AE54" s="130" t="e">
        <f>'Model homes'!$G274*G21*10^-6</f>
        <v>#DIV/0!</v>
      </c>
      <c r="AF54" s="130" t="e">
        <f>'Model homes'!$G274*H21*10^-6</f>
        <v>#DIV/0!</v>
      </c>
      <c r="AH54" s="209" t="s">
        <v>14</v>
      </c>
      <c r="AJ54" s="207" t="s">
        <v>531</v>
      </c>
      <c r="AK54" s="130" t="e">
        <f>'Model homes'!$H274*E21*10^-6</f>
        <v>#DIV/0!</v>
      </c>
      <c r="AL54" s="130" t="e">
        <f>'Model homes'!$H274*F21*10^-6</f>
        <v>#DIV/0!</v>
      </c>
      <c r="AM54" s="130" t="e">
        <f>'Model homes'!$H274*G21*10^-6</f>
        <v>#DIV/0!</v>
      </c>
      <c r="AN54" s="130" t="e">
        <f>'Model homes'!$H274*H21*10^-6</f>
        <v>#DIV/0!</v>
      </c>
    </row>
    <row r="55" spans="3:40" ht="15.95" customHeight="1" x14ac:dyDescent="0.3">
      <c r="C55" s="14" t="s">
        <v>15</v>
      </c>
      <c r="D55" s="84" t="s">
        <v>527</v>
      </c>
      <c r="E55" s="130">
        <f>E22*'Model homes'!$J111*10^-6</f>
        <v>0</v>
      </c>
      <c r="F55" s="130">
        <f>F22*'Model homes'!$J111*10^-6</f>
        <v>0</v>
      </c>
      <c r="G55" s="130">
        <f>G22*'Model homes'!$J111*10^-6</f>
        <v>0</v>
      </c>
      <c r="H55" s="130">
        <f>H22*'Model homes'!$J111*10^-6</f>
        <v>0</v>
      </c>
      <c r="J55" s="213" t="s">
        <v>15</v>
      </c>
      <c r="L55" s="207" t="s">
        <v>528</v>
      </c>
      <c r="M55" s="130">
        <f>'Model homes'!$E275*E22*10^-6</f>
        <v>2.9647601558974343E-6</v>
      </c>
      <c r="N55" s="130">
        <f>'Model homes'!$E275*F22*10^-6</f>
        <v>2.7529915733333324E-6</v>
      </c>
      <c r="O55" s="130">
        <f>'Model homes'!$E275*G22*10^-6</f>
        <v>3.221600262686566E-6</v>
      </c>
      <c r="P55" s="130">
        <f>'Model homes'!$E275*H22*10^-6</f>
        <v>3.0835316799999999E-6</v>
      </c>
      <c r="R55" s="213" t="s">
        <v>15</v>
      </c>
      <c r="T55" s="207" t="s">
        <v>529</v>
      </c>
      <c r="U55" s="130">
        <f>'Model homes'!$F275*E22*10^-6</f>
        <v>4.5953782416410231E-5</v>
      </c>
      <c r="V55" s="130">
        <f>'Model homes'!$F275*F22*10^-6</f>
        <v>4.2671369386666652E-5</v>
      </c>
      <c r="W55" s="130">
        <f>'Model homes'!$F275*G22*10^-6</f>
        <v>4.9934804071641775E-5</v>
      </c>
      <c r="X55" s="130">
        <f>'Model homes'!$F275*H22*10^-6</f>
        <v>4.7794741039999996E-5</v>
      </c>
      <c r="Z55" s="213" t="s">
        <v>15</v>
      </c>
      <c r="AB55" s="207" t="s">
        <v>530</v>
      </c>
      <c r="AC55" s="130">
        <f>'Model homes'!$G275*E22*10^-6</f>
        <v>1.0376660545641021E-5</v>
      </c>
      <c r="AD55" s="130">
        <f>'Model homes'!$G275*F22*10^-6</f>
        <v>9.6354705066666648E-6</v>
      </c>
      <c r="AE55" s="130">
        <f>'Model homes'!$G275*G22*10^-6</f>
        <v>1.1275600919402982E-5</v>
      </c>
      <c r="AF55" s="130">
        <f>'Model homes'!$G275*H22*10^-6</f>
        <v>1.0792360880000001E-5</v>
      </c>
      <c r="AH55" s="213" t="s">
        <v>15</v>
      </c>
      <c r="AJ55" s="207" t="s">
        <v>531</v>
      </c>
      <c r="AK55" s="130">
        <f>'Model homes'!$H275*E22*10^-6</f>
        <v>1.4823800779487172E-6</v>
      </c>
      <c r="AL55" s="130">
        <f>'Model homes'!$H275*F22*10^-6</f>
        <v>1.3764957866666662E-6</v>
      </c>
      <c r="AM55" s="130">
        <f>'Model homes'!$H275*G22*10^-6</f>
        <v>1.610800131343283E-6</v>
      </c>
      <c r="AN55" s="130">
        <f>'Model homes'!$H275*H22*10^-6</f>
        <v>1.54176584E-6</v>
      </c>
    </row>
    <row r="56" spans="3:40" ht="15.95" customHeight="1" x14ac:dyDescent="0.3">
      <c r="C56" s="15" t="s">
        <v>16</v>
      </c>
      <c r="D56" s="84" t="s">
        <v>527</v>
      </c>
      <c r="E56" s="130">
        <f>E23*'Model homes'!$J112*10^-6</f>
        <v>0</v>
      </c>
      <c r="F56" s="130">
        <f>F23*'Model homes'!$J112*10^-6</f>
        <v>0</v>
      </c>
      <c r="G56" s="130">
        <f>G23*'Model homes'!$J112*10^-6</f>
        <v>0</v>
      </c>
      <c r="H56" s="130">
        <f>H23*'Model homes'!$J112*10^-6</f>
        <v>0</v>
      </c>
      <c r="J56" s="210" t="s">
        <v>16</v>
      </c>
      <c r="L56" s="207" t="s">
        <v>528</v>
      </c>
      <c r="M56" s="130">
        <f>'Model homes'!$E276*E23*10^-6</f>
        <v>2.4088676266666653E-6</v>
      </c>
      <c r="N56" s="130">
        <f>'Model homes'!$E276*F23*10^-6</f>
        <v>2.2941596444444434E-6</v>
      </c>
      <c r="O56" s="130">
        <f>'Model homes'!$E276*G23*10^-6</f>
        <v>2.6322831414634142E-6</v>
      </c>
      <c r="P56" s="130">
        <f>'Model homes'!$E276*H23*10^-6</f>
        <v>2.5696097333333329E-6</v>
      </c>
      <c r="R56" s="210" t="s">
        <v>16</v>
      </c>
      <c r="T56" s="207" t="s">
        <v>529</v>
      </c>
      <c r="U56" s="130">
        <f>'Model homes'!$F276*E23*10^-6</f>
        <v>3.7337448213333316E-5</v>
      </c>
      <c r="V56" s="130">
        <f>'Model homes'!$F276*F23*10^-6</f>
        <v>3.555947448888887E-5</v>
      </c>
      <c r="W56" s="130">
        <f>'Model homes'!$F276*G23*10^-6</f>
        <v>4.0800388692682928E-5</v>
      </c>
      <c r="X56" s="130">
        <f>'Model homes'!$F276*H23*10^-6</f>
        <v>3.982895086666666E-5</v>
      </c>
      <c r="Z56" s="210" t="s">
        <v>16</v>
      </c>
      <c r="AB56" s="207" t="s">
        <v>530</v>
      </c>
      <c r="AC56" s="130">
        <f>'Model homes'!$G276*E23*10^-6</f>
        <v>8.4310366933333298E-6</v>
      </c>
      <c r="AD56" s="130">
        <f>'Model homes'!$G276*F23*10^-6</f>
        <v>8.0295587555555542E-6</v>
      </c>
      <c r="AE56" s="130">
        <f>'Model homes'!$G276*G23*10^-6</f>
        <v>9.2129909951219526E-6</v>
      </c>
      <c r="AF56" s="130">
        <f>'Model homes'!$G276*H23*10^-6</f>
        <v>8.993634066666666E-6</v>
      </c>
      <c r="AH56" s="210" t="s">
        <v>16</v>
      </c>
      <c r="AJ56" s="207" t="s">
        <v>531</v>
      </c>
      <c r="AK56" s="130">
        <f>'Model homes'!$H276*E23*10^-6</f>
        <v>1.2044338133333327E-6</v>
      </c>
      <c r="AL56" s="130">
        <f>'Model homes'!$H276*F23*10^-6</f>
        <v>1.1470798222222217E-6</v>
      </c>
      <c r="AM56" s="130">
        <f>'Model homes'!$H276*G23*10^-6</f>
        <v>1.3161415707317071E-6</v>
      </c>
      <c r="AN56" s="130">
        <f>'Model homes'!$H276*H23*10^-6</f>
        <v>1.2848048666666664E-6</v>
      </c>
    </row>
    <row r="57" spans="3:40" ht="15.95" customHeight="1" x14ac:dyDescent="0.3">
      <c r="C57" s="15" t="s">
        <v>17</v>
      </c>
      <c r="D57" s="84" t="s">
        <v>527</v>
      </c>
      <c r="E57" s="130">
        <f>E24*'Model homes'!$J113*10^-6</f>
        <v>5.5500310118399974E-2</v>
      </c>
      <c r="F57" s="130">
        <f>F24*'Model homes'!$J113*10^-6</f>
        <v>5.1536002252799987E-2</v>
      </c>
      <c r="G57" s="130">
        <f>G24*'Model homes'!$J113*10^-6</f>
        <v>6.21639986688E-2</v>
      </c>
      <c r="H57" s="130">
        <f>H24*'Model homes'!$J113*10^-6</f>
        <v>5.7723713049600001E-2</v>
      </c>
      <c r="J57" s="210" t="s">
        <v>17</v>
      </c>
      <c r="L57" s="207" t="s">
        <v>528</v>
      </c>
      <c r="M57" s="130">
        <f>'Model homes'!$E277*E24*10^-6</f>
        <v>2.8165221481025623E-5</v>
      </c>
      <c r="N57" s="130">
        <f>'Model homes'!$E277*F24*10^-6</f>
        <v>2.6153419946666659E-5</v>
      </c>
      <c r="O57" s="130">
        <f>'Model homes'!$E277*G24*10^-6</f>
        <v>3.1546901033846146E-5</v>
      </c>
      <c r="P57" s="130">
        <f>'Model homes'!$E277*H24*10^-6</f>
        <v>2.9293550959999997E-5</v>
      </c>
      <c r="R57" s="210" t="s">
        <v>17</v>
      </c>
      <c r="T57" s="207" t="s">
        <v>529</v>
      </c>
      <c r="U57" s="130">
        <f>'Model homes'!$F277*E24*10^-6</f>
        <v>4.1506642182564082E-5</v>
      </c>
      <c r="V57" s="130">
        <f>'Model homes'!$F277*F24*10^-6</f>
        <v>3.8541882026666659E-5</v>
      </c>
      <c r="W57" s="130">
        <f>'Model homes'!$F277*G24*10^-6</f>
        <v>4.6490169944615377E-5</v>
      </c>
      <c r="X57" s="130">
        <f>'Model homes'!$F277*H24*10^-6</f>
        <v>4.3169443520000002E-5</v>
      </c>
      <c r="Z57" s="210" t="s">
        <v>17</v>
      </c>
      <c r="AB57" s="207" t="s">
        <v>530</v>
      </c>
      <c r="AC57" s="130">
        <f>'Model homes'!$G277*E24*10^-6</f>
        <v>1.4823800779487172E-6</v>
      </c>
      <c r="AD57" s="130">
        <f>'Model homes'!$G277*F24*10^-6</f>
        <v>1.3764957866666662E-6</v>
      </c>
      <c r="AE57" s="130">
        <f>'Model homes'!$G277*G24*10^-6</f>
        <v>1.6603632123076921E-6</v>
      </c>
      <c r="AF57" s="130">
        <f>'Model homes'!$G277*H24*10^-6</f>
        <v>1.54176584E-6</v>
      </c>
      <c r="AH57" s="210" t="s">
        <v>17</v>
      </c>
      <c r="AJ57" s="207" t="s">
        <v>531</v>
      </c>
      <c r="AK57" s="130">
        <f>'Model homes'!$H277*E24*10^-6</f>
        <v>1.4823800779487172E-6</v>
      </c>
      <c r="AL57" s="130">
        <f>'Model homes'!$H277*F24*10^-6</f>
        <v>1.3764957866666662E-6</v>
      </c>
      <c r="AM57" s="130">
        <f>'Model homes'!$H277*G24*10^-6</f>
        <v>1.6603632123076921E-6</v>
      </c>
      <c r="AN57" s="130">
        <f>'Model homes'!$H277*H24*10^-6</f>
        <v>1.54176584E-6</v>
      </c>
    </row>
    <row r="58" spans="3:40" ht="15.95" customHeight="1" x14ac:dyDescent="0.3">
      <c r="C58" s="15" t="s">
        <v>18</v>
      </c>
      <c r="D58" s="84" t="s">
        <v>527</v>
      </c>
      <c r="E58" s="130">
        <f>E25*'Model homes'!$J114*10^-6</f>
        <v>2.7750155059199987E-2</v>
      </c>
      <c r="F58" s="130">
        <f>F25*'Model homes'!$J114*10^-6</f>
        <v>2.6117792996894106E-2</v>
      </c>
      <c r="G58" s="130">
        <f>G25*'Model homes'!$J114*10^-6</f>
        <v>3.1081999334399993E-2</v>
      </c>
      <c r="H58" s="130">
        <f>H25*'Model homes'!$J114*10^-6</f>
        <v>2.9253646432376469E-2</v>
      </c>
      <c r="J58" s="210" t="s">
        <v>18</v>
      </c>
      <c r="L58" s="207" t="s">
        <v>528</v>
      </c>
      <c r="M58" s="130">
        <f>'Model homes'!$E278*E25*10^-6</f>
        <v>2.1679808639999989E-5</v>
      </c>
      <c r="N58" s="130">
        <f>'Model homes'!$E278*F25*10^-6</f>
        <v>2.0404525778823518E-5</v>
      </c>
      <c r="O58" s="130">
        <f>'Model homes'!$E278*G25*10^-6</f>
        <v>2.4282811979999997E-5</v>
      </c>
      <c r="P58" s="130">
        <f>'Model homes'!$E278*H25*10^-6</f>
        <v>2.2854411275294113E-5</v>
      </c>
      <c r="R58" s="210" t="s">
        <v>18</v>
      </c>
      <c r="T58" s="207" t="s">
        <v>529</v>
      </c>
      <c r="U58" s="130">
        <f>'Model homes'!$F278*E25*10^-6</f>
        <v>8.4310366933333284E-5</v>
      </c>
      <c r="V58" s="130">
        <f>'Model homes'!$F278*F25*10^-6</f>
        <v>7.9350933584313674E-5</v>
      </c>
      <c r="W58" s="130">
        <f>'Model homes'!$F278*G25*10^-6</f>
        <v>9.4433157699999972E-5</v>
      </c>
      <c r="X58" s="130">
        <f>'Model homes'!$F278*H25*10^-6</f>
        <v>8.8878266070588222E-5</v>
      </c>
      <c r="Z58" s="210" t="s">
        <v>18</v>
      </c>
      <c r="AB58" s="207" t="s">
        <v>530</v>
      </c>
      <c r="AC58" s="130">
        <f>'Model homes'!$G278*E25*10^-6</f>
        <v>1.2044338133333327E-6</v>
      </c>
      <c r="AD58" s="130">
        <f>'Model homes'!$G278*F25*10^-6</f>
        <v>1.1335847654901955E-6</v>
      </c>
      <c r="AE58" s="130">
        <f>'Model homes'!$G278*G25*10^-6</f>
        <v>1.3490451099999999E-6</v>
      </c>
      <c r="AF58" s="130">
        <f>'Model homes'!$G278*H25*10^-6</f>
        <v>1.2696895152941177E-6</v>
      </c>
      <c r="AH58" s="210" t="s">
        <v>18</v>
      </c>
      <c r="AJ58" s="207" t="s">
        <v>531</v>
      </c>
      <c r="AK58" s="130">
        <f>'Model homes'!$H278*E25*10^-6</f>
        <v>1.2044338133333327E-6</v>
      </c>
      <c r="AL58" s="130">
        <f>'Model homes'!$H278*F25*10^-6</f>
        <v>1.1335847654901955E-6</v>
      </c>
      <c r="AM58" s="130">
        <f>'Model homes'!$H278*G25*10^-6</f>
        <v>1.3490451099999999E-6</v>
      </c>
      <c r="AN58" s="130">
        <f>'Model homes'!$H278*H25*10^-6</f>
        <v>1.2696895152941177E-6</v>
      </c>
    </row>
    <row r="59" spans="3:40" ht="15.95" customHeight="1" x14ac:dyDescent="0.3">
      <c r="C59" s="15" t="s">
        <v>19</v>
      </c>
      <c r="D59" s="84" t="s">
        <v>527</v>
      </c>
      <c r="E59" s="130">
        <f>E26*'Model homes'!$J115*10^-6</f>
        <v>3.3820501478399982E-2</v>
      </c>
      <c r="F59" s="130">
        <f>F26*'Model homes'!$J115*10^-6</f>
        <v>3.1460931607813943E-2</v>
      </c>
      <c r="G59" s="130">
        <f>G26*'Model homes'!$J115*10^-6</f>
        <v>3.78811866888E-2</v>
      </c>
      <c r="H59" s="130">
        <f>H26*'Model homes'!$J115*10^-6</f>
        <v>3.5238313198883715E-2</v>
      </c>
      <c r="J59" s="210" t="s">
        <v>19</v>
      </c>
      <c r="L59" s="207" t="s">
        <v>528</v>
      </c>
      <c r="M59" s="130">
        <f>'Model homes'!$E279*E26*10^-6</f>
        <v>2.1679808639999989E-5</v>
      </c>
      <c r="N59" s="130">
        <f>'Model homes'!$E279*F26*10^-6</f>
        <v>2.0167263851162783E-5</v>
      </c>
      <c r="O59" s="130">
        <f>'Model homes'!$E279*G26*10^-6</f>
        <v>2.4282811979999997E-5</v>
      </c>
      <c r="P59" s="130">
        <f>'Model homes'!$E279*H26*10^-6</f>
        <v>2.258866230697674E-5</v>
      </c>
      <c r="R59" s="210" t="s">
        <v>19</v>
      </c>
      <c r="T59" s="207" t="s">
        <v>529</v>
      </c>
      <c r="U59" s="130">
        <f>'Model homes'!$F279*E26*10^-6</f>
        <v>8.4310366933333284E-5</v>
      </c>
      <c r="V59" s="130">
        <f>'Model homes'!$F279*F26*10^-6</f>
        <v>7.8428248310077485E-5</v>
      </c>
      <c r="W59" s="130">
        <f>'Model homes'!$F279*G26*10^-6</f>
        <v>9.4433157699999972E-5</v>
      </c>
      <c r="X59" s="130">
        <f>'Model homes'!$F279*H26*10^-6</f>
        <v>8.7844797860465096E-5</v>
      </c>
      <c r="Z59" s="210" t="s">
        <v>19</v>
      </c>
      <c r="AB59" s="207" t="s">
        <v>530</v>
      </c>
      <c r="AC59" s="130">
        <f>'Model homes'!$G279*E26*10^-6</f>
        <v>1.2044338133333327E-6</v>
      </c>
      <c r="AD59" s="130">
        <f>'Model homes'!$G279*F26*10^-6</f>
        <v>1.1204035472868214E-6</v>
      </c>
      <c r="AE59" s="130">
        <f>'Model homes'!$G279*G26*10^-6</f>
        <v>1.3490451099999999E-6</v>
      </c>
      <c r="AF59" s="130">
        <f>'Model homes'!$G279*H26*10^-6</f>
        <v>1.25492568372093E-6</v>
      </c>
      <c r="AH59" s="210" t="s">
        <v>19</v>
      </c>
      <c r="AJ59" s="207" t="s">
        <v>531</v>
      </c>
      <c r="AK59" s="130">
        <f>'Model homes'!$H279*E26*10^-6</f>
        <v>1.2044338133333327E-6</v>
      </c>
      <c r="AL59" s="130">
        <f>'Model homes'!$H279*F26*10^-6</f>
        <v>1.1204035472868214E-6</v>
      </c>
      <c r="AM59" s="130">
        <f>'Model homes'!$H279*G26*10^-6</f>
        <v>1.3490451099999999E-6</v>
      </c>
      <c r="AN59" s="130">
        <f>'Model homes'!$H279*H26*10^-6</f>
        <v>1.25492568372093E-6</v>
      </c>
    </row>
    <row r="60" spans="3:40" ht="15.95" customHeight="1" x14ac:dyDescent="0.3">
      <c r="C60" s="14" t="s">
        <v>20</v>
      </c>
      <c r="D60" s="84" t="s">
        <v>527</v>
      </c>
      <c r="E60" s="130">
        <f>E27*'Model homes'!$J116*10^-6</f>
        <v>2.2689832666051752E-2</v>
      </c>
      <c r="F60" s="130">
        <f>F27*'Model homes'!$J116*10^-6</f>
        <v>2.2168227317406884E-2</v>
      </c>
      <c r="G60" s="130">
        <f>G27*'Model homes'!$J116*10^-6</f>
        <v>2.4829873031503441E-2</v>
      </c>
      <c r="H60" s="130">
        <f>H27*'Model homes'!$J116*10^-6</f>
        <v>2.4829873031503441E-2</v>
      </c>
      <c r="J60" s="213" t="s">
        <v>20</v>
      </c>
      <c r="L60" s="207" t="s">
        <v>528</v>
      </c>
      <c r="M60" s="130">
        <f>'Model homes'!$E280*E27*10^-6</f>
        <v>0</v>
      </c>
      <c r="N60" s="130">
        <f>'Model homes'!$E280*F27*10^-6</f>
        <v>0</v>
      </c>
      <c r="O60" s="130">
        <f>'Model homes'!$E280*G27*10^-6</f>
        <v>0</v>
      </c>
      <c r="P60" s="130">
        <f>'Model homes'!$E280*H27*10^-6</f>
        <v>0</v>
      </c>
      <c r="R60" s="213" t="s">
        <v>20</v>
      </c>
      <c r="T60" s="207" t="s">
        <v>529</v>
      </c>
      <c r="U60" s="130">
        <f>'Model homes'!$F280*E27*10^-6</f>
        <v>1.4736601951372543E-5</v>
      </c>
      <c r="V60" s="130">
        <f>'Model homes'!$F280*F27*10^-6</f>
        <v>1.4397829492720301E-5</v>
      </c>
      <c r="W60" s="130">
        <f>'Model homes'!$F280*G27*10^-6</f>
        <v>1.6126516257471263E-5</v>
      </c>
      <c r="X60" s="130">
        <f>'Model homes'!$F280*H27*10^-6</f>
        <v>1.6126516257471263E-5</v>
      </c>
      <c r="Z60" s="213" t="s">
        <v>20</v>
      </c>
      <c r="AB60" s="207" t="s">
        <v>530</v>
      </c>
      <c r="AC60" s="130">
        <f>'Model homes'!$G280*E27*10^-6</f>
        <v>0</v>
      </c>
      <c r="AD60" s="130">
        <f>'Model homes'!$G280*F27*10^-6</f>
        <v>0</v>
      </c>
      <c r="AE60" s="130">
        <f>'Model homes'!$G280*G27*10^-6</f>
        <v>0</v>
      </c>
      <c r="AF60" s="130">
        <f>'Model homes'!$G280*H27*10^-6</f>
        <v>0</v>
      </c>
      <c r="AH60" s="213" t="s">
        <v>20</v>
      </c>
      <c r="AJ60" s="207" t="s">
        <v>531</v>
      </c>
      <c r="AK60" s="130">
        <f>'Model homes'!$H280*E27*10^-6</f>
        <v>0</v>
      </c>
      <c r="AL60" s="130">
        <f>'Model homes'!$H280*F27*10^-6</f>
        <v>0</v>
      </c>
      <c r="AM60" s="130">
        <f>'Model homes'!$H280*G27*10^-6</f>
        <v>0</v>
      </c>
      <c r="AN60" s="130">
        <f>'Model homes'!$H280*H27*10^-6</f>
        <v>0</v>
      </c>
    </row>
    <row r="61" spans="3:40" ht="15.95" customHeight="1" x14ac:dyDescent="0.3">
      <c r="C61" s="14" t="s">
        <v>21</v>
      </c>
      <c r="D61" s="84" t="s">
        <v>527</v>
      </c>
      <c r="E61" s="130" t="e">
        <f>E28*'Model homes'!$J117*10^-6</f>
        <v>#N/A</v>
      </c>
      <c r="F61" s="130" t="e">
        <f>F28*'Model homes'!$J117*10^-6</f>
        <v>#N/A</v>
      </c>
      <c r="G61" s="130" t="e">
        <f>G28*'Model homes'!$J117*10^-6</f>
        <v>#N/A</v>
      </c>
      <c r="H61" s="130" t="e">
        <f>H28*'Model homes'!$J117*10^-6</f>
        <v>#N/A</v>
      </c>
      <c r="J61" s="213" t="s">
        <v>21</v>
      </c>
      <c r="L61" s="207" t="s">
        <v>528</v>
      </c>
      <c r="M61" s="130" t="e">
        <f>'Model homes'!$E281*E28*10^-6</f>
        <v>#DIV/0!</v>
      </c>
      <c r="N61" s="130" t="e">
        <f>'Model homes'!$E281*F28*10^-6</f>
        <v>#DIV/0!</v>
      </c>
      <c r="O61" s="130" t="e">
        <f>'Model homes'!$E281*G28*10^-6</f>
        <v>#DIV/0!</v>
      </c>
      <c r="P61" s="130" t="e">
        <f>'Model homes'!$E281*H28*10^-6</f>
        <v>#DIV/0!</v>
      </c>
      <c r="R61" s="213" t="s">
        <v>21</v>
      </c>
      <c r="T61" s="207" t="s">
        <v>529</v>
      </c>
      <c r="U61" s="130" t="e">
        <f>'Model homes'!$F281*E28*10^-6</f>
        <v>#DIV/0!</v>
      </c>
      <c r="V61" s="130" t="e">
        <f>'Model homes'!$F281*F28*10^-6</f>
        <v>#DIV/0!</v>
      </c>
      <c r="W61" s="130" t="e">
        <f>'Model homes'!$F281*G28*10^-6</f>
        <v>#DIV/0!</v>
      </c>
      <c r="X61" s="130" t="e">
        <f>'Model homes'!$F281*H28*10^-6</f>
        <v>#DIV/0!</v>
      </c>
      <c r="Z61" s="213" t="s">
        <v>21</v>
      </c>
      <c r="AB61" s="207" t="s">
        <v>530</v>
      </c>
      <c r="AC61" s="130" t="e">
        <f>'Model homes'!$G281*E28*10^-6</f>
        <v>#DIV/0!</v>
      </c>
      <c r="AD61" s="130" t="e">
        <f>'Model homes'!$G281*F28*10^-6</f>
        <v>#DIV/0!</v>
      </c>
      <c r="AE61" s="130" t="e">
        <f>'Model homes'!$G281*G28*10^-6</f>
        <v>#DIV/0!</v>
      </c>
      <c r="AF61" s="130" t="e">
        <f>'Model homes'!$G281*H28*10^-6</f>
        <v>#DIV/0!</v>
      </c>
      <c r="AH61" s="213" t="s">
        <v>21</v>
      </c>
      <c r="AJ61" s="207" t="s">
        <v>531</v>
      </c>
      <c r="AK61" s="130" t="e">
        <f>'Model homes'!$H281*E28*10^-6</f>
        <v>#DIV/0!</v>
      </c>
      <c r="AL61" s="130" t="e">
        <f>'Model homes'!$H281*F28*10^-6</f>
        <v>#DIV/0!</v>
      </c>
      <c r="AM61" s="130" t="e">
        <f>'Model homes'!$H281*G28*10^-6</f>
        <v>#DIV/0!</v>
      </c>
      <c r="AN61" s="130" t="e">
        <f>'Model homes'!$H281*H28*10^-6</f>
        <v>#DIV/0!</v>
      </c>
    </row>
    <row r="62" spans="3:40" ht="15.95" customHeight="1" x14ac:dyDescent="0.3">
      <c r="C62" s="14" t="s">
        <v>22</v>
      </c>
      <c r="D62" s="84" t="s">
        <v>527</v>
      </c>
      <c r="E62" s="130" t="e">
        <f>E29*'Model homes'!$J118*10^-6</f>
        <v>#N/A</v>
      </c>
      <c r="F62" s="130" t="e">
        <f>F29*'Model homes'!$J118*10^-6</f>
        <v>#N/A</v>
      </c>
      <c r="G62" s="130" t="e">
        <f>G29*'Model homes'!$J118*10^-6</f>
        <v>#N/A</v>
      </c>
      <c r="H62" s="130" t="e">
        <f>H29*'Model homes'!$J118*10^-6</f>
        <v>#N/A</v>
      </c>
      <c r="J62" s="213" t="s">
        <v>22</v>
      </c>
      <c r="L62" s="207" t="s">
        <v>528</v>
      </c>
      <c r="M62" s="130" t="e">
        <f>'Model homes'!$E282*E29*10^-6</f>
        <v>#DIV/0!</v>
      </c>
      <c r="N62" s="130" t="e">
        <f>'Model homes'!$E282*F29*10^-6</f>
        <v>#DIV/0!</v>
      </c>
      <c r="O62" s="130" t="e">
        <f>'Model homes'!$E282*G29*10^-6</f>
        <v>#DIV/0!</v>
      </c>
      <c r="P62" s="130" t="e">
        <f>'Model homes'!$E282*H29*10^-6</f>
        <v>#DIV/0!</v>
      </c>
      <c r="R62" s="213" t="s">
        <v>22</v>
      </c>
      <c r="T62" s="207" t="s">
        <v>529</v>
      </c>
      <c r="U62" s="130" t="e">
        <f>'Model homes'!$F282*E29*10^-6</f>
        <v>#DIV/0!</v>
      </c>
      <c r="V62" s="130" t="e">
        <f>'Model homes'!$F282*F29*10^-6</f>
        <v>#DIV/0!</v>
      </c>
      <c r="W62" s="130" t="e">
        <f>'Model homes'!$F282*G29*10^-6</f>
        <v>#DIV/0!</v>
      </c>
      <c r="X62" s="130" t="e">
        <f>'Model homes'!$F282*H29*10^-6</f>
        <v>#DIV/0!</v>
      </c>
      <c r="Z62" s="213" t="s">
        <v>22</v>
      </c>
      <c r="AB62" s="207" t="s">
        <v>530</v>
      </c>
      <c r="AC62" s="130" t="e">
        <f>'Model homes'!$G282*E29*10^-6</f>
        <v>#DIV/0!</v>
      </c>
      <c r="AD62" s="130" t="e">
        <f>'Model homes'!$G282*F29*10^-6</f>
        <v>#DIV/0!</v>
      </c>
      <c r="AE62" s="130" t="e">
        <f>'Model homes'!$G282*G29*10^-6</f>
        <v>#DIV/0!</v>
      </c>
      <c r="AF62" s="130" t="e">
        <f>'Model homes'!$G282*H29*10^-6</f>
        <v>#DIV/0!</v>
      </c>
      <c r="AH62" s="213" t="s">
        <v>22</v>
      </c>
      <c r="AJ62" s="207" t="s">
        <v>531</v>
      </c>
      <c r="AK62" s="130" t="e">
        <f>'Model homes'!$H282*E29*10^-6</f>
        <v>#DIV/0!</v>
      </c>
      <c r="AL62" s="130" t="e">
        <f>'Model homes'!$H282*F29*10^-6</f>
        <v>#DIV/0!</v>
      </c>
      <c r="AM62" s="130" t="e">
        <f>'Model homes'!$H282*G29*10^-6</f>
        <v>#DIV/0!</v>
      </c>
      <c r="AN62" s="130" t="e">
        <f>'Model homes'!$H282*H29*10^-6</f>
        <v>#DIV/0!</v>
      </c>
    </row>
    <row r="63" spans="3:40" x14ac:dyDescent="0.3">
      <c r="J63" s="26"/>
      <c r="L63" s="207"/>
      <c r="R63" s="26"/>
      <c r="T63" s="207"/>
      <c r="Z63" s="26"/>
      <c r="AB63" s="207"/>
      <c r="AH63" s="26"/>
      <c r="AJ63" s="207"/>
    </row>
    <row r="64" spans="3:40" x14ac:dyDescent="0.3">
      <c r="C64" s="51" t="s">
        <v>313</v>
      </c>
      <c r="E64" s="106"/>
      <c r="J64" s="51" t="s">
        <v>532</v>
      </c>
      <c r="R64" s="51" t="s">
        <v>533</v>
      </c>
      <c r="Z64" s="51" t="s">
        <v>534</v>
      </c>
      <c r="AH64" s="51" t="s">
        <v>535</v>
      </c>
    </row>
    <row r="65" spans="3:40" x14ac:dyDescent="0.3">
      <c r="C65" s="20" t="s">
        <v>14</v>
      </c>
      <c r="D65" s="84" t="s">
        <v>536</v>
      </c>
      <c r="E65" s="42" t="e">
        <f>LOOKUP(E$14,'Model homes'!$C$203:$C$227,'Model homes'!$F$203:$F$227)*E54</f>
        <v>#VALUE!</v>
      </c>
      <c r="F65" s="42" t="e">
        <f>LOOKUP(F$14,'Model homes'!$C$203:$C$227,'Model homes'!$F$203:$F$227)*F54</f>
        <v>#VALUE!</v>
      </c>
      <c r="G65" s="42" t="e">
        <f>LOOKUP(G$14,'Model homes'!$C$203:$C$227,'Model homes'!$F$203:$F$227)*G54</f>
        <v>#VALUE!</v>
      </c>
      <c r="H65" s="42" t="e">
        <f>LOOKUP(H$14,'Model homes'!$C$203:$C$227,'Model homes'!$F$203:$F$227)*H54</f>
        <v>#VALUE!</v>
      </c>
      <c r="J65" s="209" t="s">
        <v>14</v>
      </c>
      <c r="L65" s="207" t="s">
        <v>536</v>
      </c>
      <c r="M65" s="159" t="e">
        <f>LOOKUP(E$14,'Model homes'!$C$351:$C$375,'Model homes'!$E$351:$E$375)*M54</f>
        <v>#DIV/0!</v>
      </c>
      <c r="N65" s="159" t="e">
        <f>LOOKUP(F$14,'Model homes'!$C$351:$C$375,'Model homes'!$E$351:$E$375)*N54</f>
        <v>#DIV/0!</v>
      </c>
      <c r="O65" s="159" t="e">
        <f>LOOKUP(G$14,'Model homes'!$C$351:$C$375,'Model homes'!$E$351:$E$375)*O54</f>
        <v>#DIV/0!</v>
      </c>
      <c r="P65" s="159" t="e">
        <f>LOOKUP(H$14,'Model homes'!$C$351:$C$375,'Model homes'!$E$351:$E$375)*P54</f>
        <v>#DIV/0!</v>
      </c>
      <c r="R65" s="209" t="s">
        <v>14</v>
      </c>
      <c r="T65" s="207" t="s">
        <v>536</v>
      </c>
      <c r="U65" s="159" t="e">
        <f>LOOKUP(E$14,'Model homes'!$C$351:$C$375,'Model homes'!$F$351:$F$375)*U54</f>
        <v>#DIV/0!</v>
      </c>
      <c r="V65" s="159" t="e">
        <f>LOOKUP(F$14,'Model homes'!$C$351:$C$375,'Model homes'!$F$351:$F$375)*V54</f>
        <v>#DIV/0!</v>
      </c>
      <c r="W65" s="159" t="e">
        <f>LOOKUP(G$14,'Model homes'!$C$351:$C$375,'Model homes'!$F$351:$F$375)*W54</f>
        <v>#DIV/0!</v>
      </c>
      <c r="X65" s="159" t="e">
        <f>LOOKUP(H$14,'Model homes'!$C$351:$C$375,'Model homes'!$F$351:$F$375)*X54</f>
        <v>#DIV/0!</v>
      </c>
      <c r="Z65" s="209" t="s">
        <v>14</v>
      </c>
      <c r="AB65" s="207" t="s">
        <v>536</v>
      </c>
      <c r="AC65" s="159" t="e">
        <f>LOOKUP(E$14,'Model homes'!$C$351:$C$375,'Model homes'!$G$351:$G$375)*AC54</f>
        <v>#DIV/0!</v>
      </c>
      <c r="AD65" s="159" t="e">
        <f>LOOKUP(F$14,'Model homes'!$C$351:$C$375,'Model homes'!$G$351:$G$375)*AD54</f>
        <v>#DIV/0!</v>
      </c>
      <c r="AE65" s="159" t="e">
        <f>LOOKUP(G$14,'Model homes'!$C$351:$C$375,'Model homes'!$G$351:$G$375)*AE54</f>
        <v>#DIV/0!</v>
      </c>
      <c r="AF65" s="159" t="e">
        <f>LOOKUP(H$14,'Model homes'!$C$351:$C$375,'Model homes'!$G$351:$G$375)*AF54</f>
        <v>#DIV/0!</v>
      </c>
      <c r="AH65" s="209" t="s">
        <v>14</v>
      </c>
      <c r="AJ65" s="207" t="s">
        <v>536</v>
      </c>
      <c r="AK65" s="159" t="e">
        <f>LOOKUP(E$14,'Model homes'!$C$351:$C$375,'Model homes'!$H$351:$H$375)*AK54</f>
        <v>#DIV/0!</v>
      </c>
      <c r="AL65" s="159" t="e">
        <f>LOOKUP(F$14,'Model homes'!$C$351:$C$375,'Model homes'!$H$351:$H$375)*AL54</f>
        <v>#DIV/0!</v>
      </c>
      <c r="AM65" s="159" t="e">
        <f>LOOKUP(G$14,'Model homes'!$C$351:$C$375,'Model homes'!$H$351:$H$375)*AM54</f>
        <v>#DIV/0!</v>
      </c>
      <c r="AN65" s="159" t="e">
        <f>LOOKUP(H$14,'Model homes'!$C$351:$C$375,'Model homes'!$H$351:$H$375)*AN54</f>
        <v>#DIV/0!</v>
      </c>
    </row>
    <row r="66" spans="3:40" x14ac:dyDescent="0.3">
      <c r="C66" s="14" t="s">
        <v>15</v>
      </c>
      <c r="D66" s="84" t="s">
        <v>536</v>
      </c>
      <c r="E66" s="42">
        <f>LOOKUP(E$14,'Model homes'!$C$203:$C$227,'Model homes'!$F$203:$F$227)*E55</f>
        <v>0</v>
      </c>
      <c r="F66" s="42">
        <f>LOOKUP(F$14,'Model homes'!$C$203:$C$227,'Model homes'!$F$203:$F$227)*F55</f>
        <v>0</v>
      </c>
      <c r="G66" s="42">
        <f>LOOKUP(G$14,'Model homes'!$C$203:$C$227,'Model homes'!$F$203:$F$227)*G55</f>
        <v>0</v>
      </c>
      <c r="H66" s="42">
        <f>LOOKUP(H$14,'Model homes'!$C$203:$C$227,'Model homes'!$F$203:$F$227)*H55</f>
        <v>0</v>
      </c>
      <c r="J66" s="213" t="s">
        <v>15</v>
      </c>
      <c r="L66" s="207" t="s">
        <v>536</v>
      </c>
      <c r="M66" s="42">
        <f>LOOKUP(E$14,'Model homes'!$C$351:$C$375,'Model homes'!$E$351:$E$375)*M55</f>
        <v>5.7646012441623019E-2</v>
      </c>
      <c r="N66" s="42">
        <f>LOOKUP(F$14,'Model homes'!$C$351:$C$375,'Model homes'!$E$351:$E$375)*N55</f>
        <v>5.3528440124364245E-2</v>
      </c>
      <c r="O66" s="42">
        <f>LOOKUP(G$14,'Model homes'!$C$351:$C$375,'Model homes'!$E$351:$E$375)*O55</f>
        <v>6.2639943556766581E-2</v>
      </c>
      <c r="P66" s="42">
        <f>LOOKUP(H$14,'Model homes'!$C$351:$C$375,'Model homes'!$E$351:$E$375)*P55</f>
        <v>5.9955374547190889E-2</v>
      </c>
      <c r="R66" s="213" t="s">
        <v>15</v>
      </c>
      <c r="T66" s="207" t="s">
        <v>536</v>
      </c>
      <c r="U66" s="42">
        <f>LOOKUP(E$14,'Model homes'!$C$351:$C$375,'Model homes'!$F$351:$F$375)*U55</f>
        <v>0.78094548660153806</v>
      </c>
      <c r="V66" s="42">
        <f>LOOKUP(F$14,'Model homes'!$C$351:$C$375,'Model homes'!$F$351:$F$375)*V55</f>
        <v>0.72516366612999972</v>
      </c>
      <c r="W66" s="42">
        <f>LOOKUP(G$14,'Model homes'!$C$351:$C$375,'Model homes'!$F$351:$F$375)*W55</f>
        <v>0.84859956707622475</v>
      </c>
      <c r="X66" s="42">
        <f>LOOKUP(H$14,'Model homes'!$C$351:$C$375,'Model homes'!$F$351:$F$375)*X55</f>
        <v>0.81223101420152954</v>
      </c>
      <c r="Z66" s="213" t="s">
        <v>15</v>
      </c>
      <c r="AB66" s="207" t="s">
        <v>536</v>
      </c>
      <c r="AC66" s="42">
        <f>LOOKUP(E$14,'Model homes'!$C$351:$C$375,'Model homes'!$G$351:$G$375)*AC55</f>
        <v>0.35109680708906466</v>
      </c>
      <c r="AD66" s="42">
        <f>LOOKUP(F$14,'Model homes'!$C$351:$C$375,'Model homes'!$G$351:$G$375)*AD55</f>
        <v>0.32601846372556015</v>
      </c>
      <c r="AE66" s="42">
        <f>LOOKUP(G$14,'Model homes'!$C$351:$C$375,'Model homes'!$G$351:$G$375)*AE55</f>
        <v>0.38151267099856273</v>
      </c>
      <c r="AF66" s="42">
        <f>LOOKUP(H$14,'Model homes'!$C$351:$C$375,'Model homes'!$G$351:$G$375)*AF55</f>
        <v>0.3651621279557673</v>
      </c>
      <c r="AH66" s="213" t="s">
        <v>15</v>
      </c>
      <c r="AJ66" s="207" t="s">
        <v>536</v>
      </c>
      <c r="AK66" s="42">
        <f>LOOKUP(E$14,'Model homes'!$C$351:$C$375,'Model homes'!$H$351:$H$375)*AK55</f>
        <v>2.7233911689504716E-3</v>
      </c>
      <c r="AL66" s="42">
        <f>LOOKUP(F$14,'Model homes'!$C$351:$C$375,'Model homes'!$H$351:$H$375)*AL55</f>
        <v>2.5288632283111527E-3</v>
      </c>
      <c r="AM66" s="42">
        <f>LOOKUP(G$14,'Model homes'!$C$351:$C$375,'Model homes'!$H$351:$H$375)*AM55</f>
        <v>2.9593212414962843E-3</v>
      </c>
      <c r="AN66" s="42">
        <f>LOOKUP(H$14,'Model homes'!$C$351:$C$375,'Model homes'!$H$351:$H$375)*AN55</f>
        <v>2.8324931882893018E-3</v>
      </c>
    </row>
    <row r="67" spans="3:40" x14ac:dyDescent="0.3">
      <c r="C67" s="15" t="s">
        <v>16</v>
      </c>
      <c r="D67" s="84" t="s">
        <v>536</v>
      </c>
      <c r="E67" s="42">
        <f>LOOKUP(E$14,'Model homes'!$C$203:$C$227,'Model homes'!$F$203:$F$227)*E56</f>
        <v>0</v>
      </c>
      <c r="F67" s="42">
        <f>LOOKUP(F$14,'Model homes'!$C$203:$C$227,'Model homes'!$F$203:$F$227)*F56</f>
        <v>0</v>
      </c>
      <c r="G67" s="42">
        <f>LOOKUP(G$14,'Model homes'!$C$203:$C$227,'Model homes'!$F$203:$F$227)*G56</f>
        <v>0</v>
      </c>
      <c r="H67" s="42">
        <f>LOOKUP(H$14,'Model homes'!$C$203:$C$227,'Model homes'!$F$203:$F$227)*H56</f>
        <v>0</v>
      </c>
      <c r="J67" s="210" t="s">
        <v>16</v>
      </c>
      <c r="L67" s="207" t="s">
        <v>536</v>
      </c>
      <c r="M67" s="42">
        <f>LOOKUP(E$14,'Model homes'!$C$351:$C$375,'Model homes'!$E$351:$E$375)*M56</f>
        <v>4.6837385108818699E-2</v>
      </c>
      <c r="N67" s="42">
        <f>LOOKUP(F$14,'Model homes'!$C$351:$C$375,'Model homes'!$E$351:$E$375)*N56</f>
        <v>4.4607033436970193E-2</v>
      </c>
      <c r="O67" s="42">
        <f>LOOKUP(G$14,'Model homes'!$C$351:$C$375,'Model homes'!$E$351:$E$375)*O56</f>
        <v>5.118141729638246E-2</v>
      </c>
      <c r="P67" s="42">
        <f>LOOKUP(H$14,'Model homes'!$C$351:$C$375,'Model homes'!$E$351:$E$375)*P56</f>
        <v>4.9962812122659066E-2</v>
      </c>
      <c r="R67" s="210" t="s">
        <v>16</v>
      </c>
      <c r="T67" s="207" t="s">
        <v>536</v>
      </c>
      <c r="U67" s="42">
        <f>LOOKUP(E$14,'Model homes'!$C$351:$C$375,'Model homes'!$F$351:$F$375)*U56</f>
        <v>0.63451820786374968</v>
      </c>
      <c r="V67" s="42">
        <f>LOOKUP(F$14,'Model homes'!$C$351:$C$375,'Model homes'!$F$351:$F$375)*V56</f>
        <v>0.60430305510833304</v>
      </c>
      <c r="W67" s="42">
        <f>LOOKUP(G$14,'Model homes'!$C$351:$C$375,'Model homes'!$F$351:$F$375)*W56</f>
        <v>0.69336793895252524</v>
      </c>
      <c r="X67" s="42">
        <f>LOOKUP(H$14,'Model homes'!$C$351:$C$375,'Model homes'!$F$351:$F$375)*X56</f>
        <v>0.67685917850127453</v>
      </c>
      <c r="Z67" s="210" t="s">
        <v>16</v>
      </c>
      <c r="AB67" s="207" t="s">
        <v>536</v>
      </c>
      <c r="AC67" s="42">
        <f>LOOKUP(E$14,'Model homes'!$C$351:$C$375,'Model homes'!$G$351:$G$375)*AC56</f>
        <v>0.28526615575986503</v>
      </c>
      <c r="AD67" s="42">
        <f>LOOKUP(F$14,'Model homes'!$C$351:$C$375,'Model homes'!$G$351:$G$375)*AD56</f>
        <v>0.27168205310463345</v>
      </c>
      <c r="AE67" s="42">
        <f>LOOKUP(G$14,'Model homes'!$C$351:$C$375,'Model homes'!$G$351:$G$375)*AE56</f>
        <v>0.31172376776711846</v>
      </c>
      <c r="AF67" s="42">
        <f>LOOKUP(H$14,'Model homes'!$C$351:$C$375,'Model homes'!$G$351:$G$375)*AF56</f>
        <v>0.30430177329647268</v>
      </c>
      <c r="AH67" s="210" t="s">
        <v>16</v>
      </c>
      <c r="AJ67" s="207" t="s">
        <v>536</v>
      </c>
      <c r="AK67" s="42">
        <f>LOOKUP(E$14,'Model homes'!$C$351:$C$375,'Model homes'!$H$351:$H$375)*AK56</f>
        <v>2.212755324772258E-3</v>
      </c>
      <c r="AL67" s="42">
        <f>LOOKUP(F$14,'Model homes'!$C$351:$C$375,'Model homes'!$H$351:$H$375)*AL56</f>
        <v>2.1073860235926267E-3</v>
      </c>
      <c r="AM67" s="42">
        <f>LOOKUP(G$14,'Model homes'!$C$351:$C$375,'Model homes'!$H$351:$H$375)*AM56</f>
        <v>2.4179819900030622E-3</v>
      </c>
      <c r="AN67" s="42">
        <f>LOOKUP(H$14,'Model homes'!$C$351:$C$375,'Model homes'!$H$351:$H$375)*AN56</f>
        <v>2.3604109902410843E-3</v>
      </c>
    </row>
    <row r="68" spans="3:40" x14ac:dyDescent="0.3">
      <c r="C68" s="15" t="s">
        <v>17</v>
      </c>
      <c r="D68" s="84" t="s">
        <v>536</v>
      </c>
      <c r="E68" s="42">
        <f>LOOKUP(E$14,'Model homes'!$C$203:$C$227,'Model homes'!$F$203:$F$227)*E57</f>
        <v>10.707944930210813</v>
      </c>
      <c r="F68" s="42">
        <f>LOOKUP(F$14,'Model homes'!$C$203:$C$227,'Model homes'!$F$203:$F$227)*F57</f>
        <v>9.9430917209100436</v>
      </c>
      <c r="G68" s="42">
        <f>LOOKUP(G$14,'Model homes'!$C$203:$C$227,'Model homes'!$F$203:$F$227)*G57</f>
        <v>11.993602791897315</v>
      </c>
      <c r="H68" s="42">
        <f>LOOKUP(H$14,'Model homes'!$C$203:$C$227,'Model homes'!$F$203:$F$227)*H57</f>
        <v>11.136916878190364</v>
      </c>
      <c r="J68" s="210" t="s">
        <v>17</v>
      </c>
      <c r="L68" s="207" t="s">
        <v>536</v>
      </c>
      <c r="M68" s="42">
        <f>LOOKUP(E$14,'Model homes'!$C$351:$C$375,'Model homes'!$E$351:$E$375)*M57</f>
        <v>0.5476371181954186</v>
      </c>
      <c r="N68" s="42">
        <f>LOOKUP(F$14,'Model homes'!$C$351:$C$375,'Model homes'!$E$351:$E$375)*N57</f>
        <v>0.50852018118146036</v>
      </c>
      <c r="O68" s="42">
        <f>LOOKUP(G$14,'Model homes'!$C$351:$C$375,'Model homes'!$E$351:$E$375)*O57</f>
        <v>0.61338960113664509</v>
      </c>
      <c r="P68" s="42">
        <f>LOOKUP(H$14,'Model homes'!$C$351:$C$375,'Model homes'!$E$351:$E$375)*P57</f>
        <v>0.56957605819831336</v>
      </c>
      <c r="R68" s="210" t="s">
        <v>17</v>
      </c>
      <c r="T68" s="207" t="s">
        <v>536</v>
      </c>
      <c r="U68" s="42">
        <f>LOOKUP(E$14,'Model homes'!$C$351:$C$375,'Model homes'!$F$351:$F$375)*U57</f>
        <v>0.70537011693042151</v>
      </c>
      <c r="V68" s="42">
        <f>LOOKUP(F$14,'Model homes'!$C$351:$C$375,'Model homes'!$F$351:$F$375)*V57</f>
        <v>0.65498653714967725</v>
      </c>
      <c r="W68" s="42">
        <f>LOOKUP(G$14,'Model homes'!$C$351:$C$375,'Model homes'!$F$351:$F$375)*W57</f>
        <v>0.7900609368908178</v>
      </c>
      <c r="X68" s="42">
        <f>LOOKUP(H$14,'Model homes'!$C$351:$C$375,'Model homes'!$F$351:$F$375)*X57</f>
        <v>0.73362801282718804</v>
      </c>
      <c r="Z68" s="210" t="s">
        <v>17</v>
      </c>
      <c r="AB68" s="207" t="s">
        <v>536</v>
      </c>
      <c r="AC68" s="42">
        <f>LOOKUP(E$14,'Model homes'!$C$351:$C$375,'Model homes'!$G$351:$G$375)*AC57</f>
        <v>5.0156686727009236E-2</v>
      </c>
      <c r="AD68" s="42">
        <f>LOOKUP(F$14,'Model homes'!$C$351:$C$375,'Model homes'!$G$351:$G$375)*AD57</f>
        <v>4.6574066246508582E-2</v>
      </c>
      <c r="AE68" s="42">
        <f>LOOKUP(G$14,'Model homes'!$C$351:$C$375,'Model homes'!$G$351:$G$375)*AE57</f>
        <v>5.6178788916271878E-2</v>
      </c>
      <c r="AF68" s="42">
        <f>LOOKUP(H$14,'Model homes'!$C$351:$C$375,'Model homes'!$G$351:$G$375)*AF57</f>
        <v>5.2166018279395321E-2</v>
      </c>
      <c r="AH68" s="210" t="s">
        <v>17</v>
      </c>
      <c r="AJ68" s="207" t="s">
        <v>536</v>
      </c>
      <c r="AK68" s="42">
        <f>LOOKUP(E$14,'Model homes'!$C$351:$C$375,'Model homes'!$H$351:$H$375)*AK57</f>
        <v>2.7233911689504716E-3</v>
      </c>
      <c r="AL68" s="42">
        <f>LOOKUP(F$14,'Model homes'!$C$351:$C$375,'Model homes'!$H$351:$H$375)*AL57</f>
        <v>2.5288632283111527E-3</v>
      </c>
      <c r="AM68" s="42">
        <f>LOOKUP(G$14,'Model homes'!$C$351:$C$375,'Model homes'!$H$351:$H$375)*AM57</f>
        <v>3.0503772796961707E-3</v>
      </c>
      <c r="AN68" s="42">
        <f>LOOKUP(H$14,'Model homes'!$C$351:$C$375,'Model homes'!$H$351:$H$375)*AN57</f>
        <v>2.8324931882893018E-3</v>
      </c>
    </row>
    <row r="69" spans="3:40" x14ac:dyDescent="0.3">
      <c r="C69" s="15" t="s">
        <v>18</v>
      </c>
      <c r="D69" s="84" t="s">
        <v>536</v>
      </c>
      <c r="E69" s="42">
        <f>LOOKUP(E$14,'Model homes'!$C$203:$C$227,'Model homes'!$F$203:$F$227)*E58</f>
        <v>5.3539724651054064</v>
      </c>
      <c r="F69" s="42">
        <f>LOOKUP(F$14,'Model homes'!$C$203:$C$227,'Model homes'!$F$203:$F$227)*F58</f>
        <v>5.0390329083345007</v>
      </c>
      <c r="G69" s="42">
        <f>LOOKUP(G$14,'Model homes'!$C$203:$C$227,'Model homes'!$F$203:$F$227)*G58</f>
        <v>5.9968013959486557</v>
      </c>
      <c r="H69" s="42">
        <f>LOOKUP(H$14,'Model homes'!$C$203:$C$227,'Model homes'!$F$203:$F$227)*H58</f>
        <v>5.6440483726575597</v>
      </c>
      <c r="J69" s="210" t="s">
        <v>18</v>
      </c>
      <c r="L69" s="207" t="s">
        <v>536</v>
      </c>
      <c r="M69" s="42">
        <f>LOOKUP(E$14,'Model homes'!$C$351:$C$375,'Model homes'!$E$351:$E$375)*M58</f>
        <v>0.42153646597936834</v>
      </c>
      <c r="N69" s="42">
        <f>LOOKUP(F$14,'Model homes'!$C$351:$C$375,'Model homes'!$E$351:$E$375)*N58</f>
        <v>0.39674020327469961</v>
      </c>
      <c r="O69" s="42">
        <f>LOOKUP(G$14,'Model homes'!$C$351:$C$375,'Model homes'!$E$351:$E$375)*O58</f>
        <v>0.47214857455912823</v>
      </c>
      <c r="P69" s="42">
        <f>LOOKUP(H$14,'Model homes'!$C$351:$C$375,'Model homes'!$E$351:$E$375)*P58</f>
        <v>0.44437512899682652</v>
      </c>
      <c r="R69" s="210" t="s">
        <v>18</v>
      </c>
      <c r="T69" s="207" t="s">
        <v>536</v>
      </c>
      <c r="U69" s="42">
        <f>LOOKUP(E$14,'Model homes'!$C$351:$C$375,'Model homes'!$F$351:$F$375)*U58</f>
        <v>1.4327830500149186</v>
      </c>
      <c r="V69" s="42">
        <f>LOOKUP(F$14,'Model homes'!$C$351:$C$375,'Model homes'!$F$351:$F$375)*V58</f>
        <v>1.3485016941316879</v>
      </c>
      <c r="W69" s="42">
        <f>LOOKUP(G$14,'Model homes'!$C$351:$C$375,'Model homes'!$F$351:$F$375)*W58</f>
        <v>1.6048112780594734</v>
      </c>
      <c r="X69" s="42">
        <f>LOOKUP(H$14,'Model homes'!$C$351:$C$375,'Model homes'!$F$351:$F$375)*X58</f>
        <v>1.5104106146442104</v>
      </c>
      <c r="Z69" s="210" t="s">
        <v>18</v>
      </c>
      <c r="AB69" s="207" t="s">
        <v>536</v>
      </c>
      <c r="AC69" s="42">
        <f>LOOKUP(E$14,'Model homes'!$C$351:$C$375,'Model homes'!$G$351:$G$375)*AC58</f>
        <v>4.0752307965695005E-2</v>
      </c>
      <c r="AD69" s="42">
        <f>LOOKUP(F$14,'Model homes'!$C$351:$C$375,'Model homes'!$G$351:$G$375)*AD58</f>
        <v>3.8355113379477647E-2</v>
      </c>
      <c r="AE69" s="42">
        <f>LOOKUP(G$14,'Model homes'!$C$351:$C$375,'Model homes'!$G$351:$G$375)*AE58</f>
        <v>4.5645265994470906E-2</v>
      </c>
      <c r="AF69" s="42">
        <f>LOOKUP(H$14,'Model homes'!$C$351:$C$375,'Model homes'!$G$351:$G$375)*AF58</f>
        <v>4.2960250347737323E-2</v>
      </c>
      <c r="AH69" s="210" t="s">
        <v>18</v>
      </c>
      <c r="AJ69" s="207" t="s">
        <v>536</v>
      </c>
      <c r="AK69" s="42">
        <f>LOOKUP(E$14,'Model homes'!$C$351:$C$375,'Model homes'!$H$351:$H$375)*AK58</f>
        <v>2.212755324772258E-3</v>
      </c>
      <c r="AL69" s="42">
        <f>LOOKUP(F$14,'Model homes'!$C$351:$C$375,'Model homes'!$H$351:$H$375)*AL58</f>
        <v>2.0825932468444782E-3</v>
      </c>
      <c r="AM69" s="42">
        <f>LOOKUP(G$14,'Model homes'!$C$351:$C$375,'Model homes'!$H$351:$H$375)*AM58</f>
        <v>2.478431539753139E-3</v>
      </c>
      <c r="AN69" s="42">
        <f>LOOKUP(H$14,'Model homes'!$C$351:$C$375,'Model homes'!$H$351:$H$375)*AN58</f>
        <v>2.3326414491794249E-3</v>
      </c>
    </row>
    <row r="70" spans="3:40" x14ac:dyDescent="0.3">
      <c r="C70" s="15" t="s">
        <v>19</v>
      </c>
      <c r="D70" s="84" t="s">
        <v>536</v>
      </c>
      <c r="E70" s="42">
        <f>LOOKUP(E$14,'Model homes'!$C$203:$C$227,'Model homes'!$F$203:$F$227)*E59</f>
        <v>6.525153941847214</v>
      </c>
      <c r="F70" s="42">
        <f>LOOKUP(F$14,'Model homes'!$C$203:$C$227,'Model homes'!$F$203:$F$227)*F59</f>
        <v>6.0699106435788046</v>
      </c>
      <c r="G70" s="42">
        <f>LOOKUP(G$14,'Model homes'!$C$203:$C$227,'Model homes'!$F$203:$F$227)*G59</f>
        <v>7.3086017013124263</v>
      </c>
      <c r="H70" s="42">
        <f>LOOKUP(H$14,'Model homes'!$C$203:$C$227,'Model homes'!$F$203:$F$227)*H59</f>
        <v>6.7986992570348139</v>
      </c>
      <c r="J70" s="210" t="s">
        <v>19</v>
      </c>
      <c r="L70" s="207" t="s">
        <v>536</v>
      </c>
      <c r="M70" s="42">
        <f>LOOKUP(E$14,'Model homes'!$C$351:$C$375,'Model homes'!$E$351:$E$375)*M59</f>
        <v>0.42153646597936834</v>
      </c>
      <c r="N70" s="42">
        <f>LOOKUP(F$14,'Model homes'!$C$351:$C$375,'Model homes'!$E$351:$E$375)*N59</f>
        <v>0.3921269450970869</v>
      </c>
      <c r="O70" s="42">
        <f>LOOKUP(G$14,'Model homes'!$C$351:$C$375,'Model homes'!$E$351:$E$375)*O59</f>
        <v>0.47214857455912823</v>
      </c>
      <c r="P70" s="42">
        <f>LOOKUP(H$14,'Model homes'!$C$351:$C$375,'Model homes'!$E$351:$E$375)*P59</f>
        <v>0.43920797633407271</v>
      </c>
      <c r="R70" s="210" t="s">
        <v>19</v>
      </c>
      <c r="T70" s="207" t="s">
        <v>536</v>
      </c>
      <c r="U70" s="42">
        <f>LOOKUP(E$14,'Model homes'!$C$351:$C$375,'Model homes'!$F$351:$F$375)*U59</f>
        <v>1.4327830500149186</v>
      </c>
      <c r="V70" s="42">
        <f>LOOKUP(F$14,'Model homes'!$C$351:$C$375,'Model homes'!$F$351:$F$375)*V59</f>
        <v>1.3328214418743429</v>
      </c>
      <c r="W70" s="42">
        <f>LOOKUP(G$14,'Model homes'!$C$351:$C$375,'Model homes'!$F$351:$F$375)*W59</f>
        <v>1.6048112780594734</v>
      </c>
      <c r="X70" s="42">
        <f>LOOKUP(H$14,'Model homes'!$C$351:$C$375,'Model homes'!$F$351:$F$375)*X59</f>
        <v>1.4928477005204404</v>
      </c>
      <c r="Z70" s="210" t="s">
        <v>19</v>
      </c>
      <c r="AB70" s="207" t="s">
        <v>536</v>
      </c>
      <c r="AC70" s="42">
        <f>LOOKUP(E$14,'Model homes'!$C$351:$C$375,'Model homes'!$G$351:$G$375)*AC59</f>
        <v>4.0752307965695005E-2</v>
      </c>
      <c r="AD70" s="42">
        <f>LOOKUP(F$14,'Model homes'!$C$351:$C$375,'Model homes'!$G$351:$G$375)*AD59</f>
        <v>3.7909123689018616E-2</v>
      </c>
      <c r="AE70" s="42">
        <f>LOOKUP(G$14,'Model homes'!$C$351:$C$375,'Model homes'!$G$351:$G$375)*AE59</f>
        <v>4.5645265994470906E-2</v>
      </c>
      <c r="AF70" s="42">
        <f>LOOKUP(H$14,'Model homes'!$C$351:$C$375,'Model homes'!$G$351:$G$375)*AF59</f>
        <v>4.2460712552996188E-2</v>
      </c>
      <c r="AH70" s="210" t="s">
        <v>19</v>
      </c>
      <c r="AJ70" s="207" t="s">
        <v>536</v>
      </c>
      <c r="AK70" s="42">
        <f>LOOKUP(E$14,'Model homes'!$C$351:$C$375,'Model homes'!$H$351:$H$375)*AK59</f>
        <v>2.212755324772258E-3</v>
      </c>
      <c r="AL70" s="42">
        <f>LOOKUP(F$14,'Model homes'!$C$351:$C$375,'Model homes'!$H$351:$H$375)*AL59</f>
        <v>2.0583770462997753E-3</v>
      </c>
      <c r="AM70" s="42">
        <f>LOOKUP(G$14,'Model homes'!$C$351:$C$375,'Model homes'!$H$351:$H$375)*AM59</f>
        <v>2.478431539753139E-3</v>
      </c>
      <c r="AN70" s="42">
        <f>LOOKUP(H$14,'Model homes'!$C$351:$C$375,'Model homes'!$H$351:$H$375)*AN59</f>
        <v>2.3055177113982684E-3</v>
      </c>
    </row>
    <row r="71" spans="3:40" x14ac:dyDescent="0.3">
      <c r="C71" s="14" t="s">
        <v>20</v>
      </c>
      <c r="D71" s="84" t="s">
        <v>536</v>
      </c>
      <c r="E71" s="42">
        <f>LOOKUP(E$14,'Model homes'!$C$203:$C$227,'Model homes'!$F$203:$F$227)*E60</f>
        <v>4.377659839115597</v>
      </c>
      <c r="F71" s="42">
        <f>LOOKUP(F$14,'Model homes'!$C$203:$C$227,'Model homes'!$F$203:$F$227)*F60</f>
        <v>4.2770239807451231</v>
      </c>
      <c r="G71" s="42">
        <f>LOOKUP(G$14,'Model homes'!$C$203:$C$227,'Model homes'!$F$203:$F$227)*G60</f>
        <v>4.7905482415911678</v>
      </c>
      <c r="H71" s="42">
        <f>LOOKUP(H$14,'Model homes'!$C$203:$C$227,'Model homes'!$F$203:$F$227)*H60</f>
        <v>4.7905482415911678</v>
      </c>
      <c r="J71" s="213" t="s">
        <v>20</v>
      </c>
      <c r="L71" s="207" t="s">
        <v>536</v>
      </c>
      <c r="M71" s="42">
        <f>LOOKUP(E$14,'Model homes'!$C$351:$C$375,'Model homes'!$E$351:$E$375)*M60</f>
        <v>0</v>
      </c>
      <c r="N71" s="42">
        <f>LOOKUP(F$14,'Model homes'!$C$351:$C$375,'Model homes'!$E$351:$E$375)*N60</f>
        <v>0</v>
      </c>
      <c r="O71" s="42">
        <f>LOOKUP(G$14,'Model homes'!$C$351:$C$375,'Model homes'!$E$351:$E$375)*O60</f>
        <v>0</v>
      </c>
      <c r="P71" s="42">
        <f>LOOKUP(H$14,'Model homes'!$C$351:$C$375,'Model homes'!$E$351:$E$375)*P60</f>
        <v>0</v>
      </c>
      <c r="R71" s="213" t="s">
        <v>20</v>
      </c>
      <c r="T71" s="207" t="s">
        <v>536</v>
      </c>
      <c r="U71" s="42">
        <f>LOOKUP(E$14,'Model homes'!$C$351:$C$375,'Model homes'!$F$351:$F$375)*U60</f>
        <v>0.25043602891017069</v>
      </c>
      <c r="V71" s="42">
        <f>LOOKUP(F$14,'Model homes'!$C$351:$C$375,'Model homes'!$F$351:$F$375)*V60</f>
        <v>0.24467887882028169</v>
      </c>
      <c r="W71" s="42">
        <f>LOOKUP(G$14,'Model homes'!$C$351:$C$375,'Model homes'!$F$351:$F$375)*W60</f>
        <v>0.27405644157337483</v>
      </c>
      <c r="X71" s="42">
        <f>LOOKUP(H$14,'Model homes'!$C$351:$C$375,'Model homes'!$F$351:$F$375)*X60</f>
        <v>0.27405644157337483</v>
      </c>
      <c r="Z71" s="213" t="s">
        <v>20</v>
      </c>
      <c r="AB71" s="207" t="s">
        <v>536</v>
      </c>
      <c r="AC71" s="42">
        <f>LOOKUP(E$14,'Model homes'!$C$351:$C$375,'Model homes'!$G$351:$G$375)*AC60</f>
        <v>0</v>
      </c>
      <c r="AD71" s="42">
        <f>LOOKUP(F$14,'Model homes'!$C$351:$C$375,'Model homes'!$G$351:$G$375)*AD60</f>
        <v>0</v>
      </c>
      <c r="AE71" s="42">
        <f>LOOKUP(G$14,'Model homes'!$C$351:$C$375,'Model homes'!$G$351:$G$375)*AE60</f>
        <v>0</v>
      </c>
      <c r="AF71" s="42">
        <f>LOOKUP(H$14,'Model homes'!$C$351:$C$375,'Model homes'!$G$351:$G$375)*AF60</f>
        <v>0</v>
      </c>
      <c r="AH71" s="213" t="s">
        <v>20</v>
      </c>
      <c r="AJ71" s="207" t="s">
        <v>536</v>
      </c>
      <c r="AK71" s="42">
        <f>LOOKUP(E$14,'Model homes'!$C$351:$C$375,'Model homes'!$H$351:$H$375)*AK60</f>
        <v>0</v>
      </c>
      <c r="AL71" s="42">
        <f>LOOKUP(F$14,'Model homes'!$C$351:$C$375,'Model homes'!$H$351:$H$375)*AL60</f>
        <v>0</v>
      </c>
      <c r="AM71" s="42">
        <f>LOOKUP(G$14,'Model homes'!$C$351:$C$375,'Model homes'!$H$351:$H$375)*AM60</f>
        <v>0</v>
      </c>
      <c r="AN71" s="42">
        <f>LOOKUP(H$14,'Model homes'!$C$351:$C$375,'Model homes'!$H$351:$H$375)*AN60</f>
        <v>0</v>
      </c>
    </row>
    <row r="72" spans="3:40" x14ac:dyDescent="0.3">
      <c r="C72" s="14" t="s">
        <v>21</v>
      </c>
      <c r="D72" s="84" t="s">
        <v>536</v>
      </c>
      <c r="E72" s="42" t="e">
        <f>LOOKUP(E$14,'Model homes'!$C$203:$C$227,'Model homes'!$F$203:$F$227)*E61</f>
        <v>#N/A</v>
      </c>
      <c r="F72" s="42" t="e">
        <f>LOOKUP(F$14,'Model homes'!$C$203:$C$227,'Model homes'!$F$203:$F$227)*F61</f>
        <v>#N/A</v>
      </c>
      <c r="G72" s="42" t="e">
        <f>LOOKUP(G$14,'Model homes'!$C$203:$C$227,'Model homes'!$F$203:$F$227)*G61</f>
        <v>#N/A</v>
      </c>
      <c r="H72" s="42" t="e">
        <f>LOOKUP(H$14,'Model homes'!$C$203:$C$227,'Model homes'!$F$203:$F$227)*H61</f>
        <v>#N/A</v>
      </c>
      <c r="J72" s="213" t="s">
        <v>21</v>
      </c>
      <c r="L72" s="207" t="s">
        <v>536</v>
      </c>
      <c r="M72" s="159" t="e">
        <f>LOOKUP(E$14,'Model homes'!$C$351:$C$375,'Model homes'!$E$351:$E$375)*M61</f>
        <v>#DIV/0!</v>
      </c>
      <c r="N72" s="159" t="e">
        <f>LOOKUP(F$14,'Model homes'!$C$351:$C$375,'Model homes'!$E$351:$E$375)*N61</f>
        <v>#DIV/0!</v>
      </c>
      <c r="O72" s="159" t="e">
        <f>LOOKUP(G$14,'Model homes'!$C$351:$C$375,'Model homes'!$E$351:$E$375)*O61</f>
        <v>#DIV/0!</v>
      </c>
      <c r="P72" s="159" t="e">
        <f>LOOKUP(H$14,'Model homes'!$C$351:$C$375,'Model homes'!$E$351:$E$375)*P61</f>
        <v>#DIV/0!</v>
      </c>
      <c r="R72" s="213" t="s">
        <v>21</v>
      </c>
      <c r="T72" s="207" t="s">
        <v>536</v>
      </c>
      <c r="U72" s="159" t="e">
        <f>LOOKUP(E$14,'Model homes'!$C$351:$C$375,'Model homes'!$F$351:$F$375)*U61</f>
        <v>#DIV/0!</v>
      </c>
      <c r="V72" s="159" t="e">
        <f>LOOKUP(F$14,'Model homes'!$C$351:$C$375,'Model homes'!$F$351:$F$375)*V61</f>
        <v>#DIV/0!</v>
      </c>
      <c r="W72" s="159" t="e">
        <f>LOOKUP(G$14,'Model homes'!$C$351:$C$375,'Model homes'!$F$351:$F$375)*W61</f>
        <v>#DIV/0!</v>
      </c>
      <c r="X72" s="159" t="e">
        <f>LOOKUP(H$14,'Model homes'!$C$351:$C$375,'Model homes'!$F$351:$F$375)*X61</f>
        <v>#DIV/0!</v>
      </c>
      <c r="Z72" s="213" t="s">
        <v>21</v>
      </c>
      <c r="AB72" s="207" t="s">
        <v>536</v>
      </c>
      <c r="AC72" s="159" t="e">
        <f>LOOKUP(E$14,'Model homes'!$C$351:$C$375,'Model homes'!$G$351:$G$375)*AC61</f>
        <v>#DIV/0!</v>
      </c>
      <c r="AD72" s="159" t="e">
        <f>LOOKUP(F$14,'Model homes'!$C$351:$C$375,'Model homes'!$G$351:$G$375)*AD61</f>
        <v>#DIV/0!</v>
      </c>
      <c r="AE72" s="159" t="e">
        <f>LOOKUP(G$14,'Model homes'!$C$351:$C$375,'Model homes'!$G$351:$G$375)*AE61</f>
        <v>#DIV/0!</v>
      </c>
      <c r="AF72" s="159" t="e">
        <f>LOOKUP(H$14,'Model homes'!$C$351:$C$375,'Model homes'!$G$351:$G$375)*AF61</f>
        <v>#DIV/0!</v>
      </c>
      <c r="AH72" s="213" t="s">
        <v>21</v>
      </c>
      <c r="AJ72" s="207" t="s">
        <v>536</v>
      </c>
      <c r="AK72" s="159" t="e">
        <f>LOOKUP(E$14,'Model homes'!$C$351:$C$375,'Model homes'!$H$351:$H$375)*AK61</f>
        <v>#DIV/0!</v>
      </c>
      <c r="AL72" s="159" t="e">
        <f>LOOKUP(F$14,'Model homes'!$C$351:$C$375,'Model homes'!$H$351:$H$375)*AL61</f>
        <v>#DIV/0!</v>
      </c>
      <c r="AM72" s="159" t="e">
        <f>LOOKUP(G$14,'Model homes'!$C$351:$C$375,'Model homes'!$H$351:$H$375)*AM61</f>
        <v>#DIV/0!</v>
      </c>
      <c r="AN72" s="159" t="e">
        <f>LOOKUP(H$14,'Model homes'!$C$351:$C$375,'Model homes'!$H$351:$H$375)*AN61</f>
        <v>#DIV/0!</v>
      </c>
    </row>
    <row r="73" spans="3:40" x14ac:dyDescent="0.3">
      <c r="C73" s="14" t="s">
        <v>22</v>
      </c>
      <c r="D73" s="84" t="s">
        <v>536</v>
      </c>
      <c r="E73" s="42" t="e">
        <f>LOOKUP(E$14,'Model homes'!$C$203:$C$227,'Model homes'!$F$203:$F$227)*E62</f>
        <v>#N/A</v>
      </c>
      <c r="F73" s="42" t="e">
        <f>LOOKUP(F$14,'Model homes'!$C$203:$C$227,'Model homes'!$F$203:$F$227)*F62</f>
        <v>#N/A</v>
      </c>
      <c r="G73" s="42" t="e">
        <f>LOOKUP(G$14,'Model homes'!$C$203:$C$227,'Model homes'!$F$203:$F$227)*G62</f>
        <v>#N/A</v>
      </c>
      <c r="H73" s="42" t="e">
        <f>LOOKUP(H$14,'Model homes'!$C$203:$C$227,'Model homes'!$F$203:$F$227)*H62</f>
        <v>#N/A</v>
      </c>
      <c r="J73" s="213" t="s">
        <v>22</v>
      </c>
      <c r="L73" s="207" t="s">
        <v>536</v>
      </c>
      <c r="M73" s="159" t="e">
        <f>LOOKUP(E$14,'Model homes'!$C$351:$C$375,'Model homes'!$E$351:$E$375)*M62</f>
        <v>#DIV/0!</v>
      </c>
      <c r="N73" s="159" t="e">
        <f>LOOKUP(F$14,'Model homes'!$C$351:$C$375,'Model homes'!$E$351:$E$375)*N62</f>
        <v>#DIV/0!</v>
      </c>
      <c r="O73" s="159" t="e">
        <f>LOOKUP(G$14,'Model homes'!$C$351:$C$375,'Model homes'!$E$351:$E$375)*O62</f>
        <v>#DIV/0!</v>
      </c>
      <c r="P73" s="159" t="e">
        <f>LOOKUP(H$14,'Model homes'!$C$351:$C$375,'Model homes'!$E$351:$E$375)*P62</f>
        <v>#DIV/0!</v>
      </c>
      <c r="R73" s="213" t="s">
        <v>22</v>
      </c>
      <c r="T73" s="207" t="s">
        <v>536</v>
      </c>
      <c r="U73" s="159" t="e">
        <f>LOOKUP(E$14,'Model homes'!$C$351:$C$375,'Model homes'!$F$351:$F$375)*U62</f>
        <v>#DIV/0!</v>
      </c>
      <c r="V73" s="159" t="e">
        <f>LOOKUP(F$14,'Model homes'!$C$351:$C$375,'Model homes'!$F$351:$F$375)*V62</f>
        <v>#DIV/0!</v>
      </c>
      <c r="W73" s="159" t="e">
        <f>LOOKUP(G$14,'Model homes'!$C$351:$C$375,'Model homes'!$F$351:$F$375)*W62</f>
        <v>#DIV/0!</v>
      </c>
      <c r="X73" s="159" t="e">
        <f>LOOKUP(H$14,'Model homes'!$C$351:$C$375,'Model homes'!$F$351:$F$375)*X62</f>
        <v>#DIV/0!</v>
      </c>
      <c r="Z73" s="213" t="s">
        <v>22</v>
      </c>
      <c r="AB73" s="207" t="s">
        <v>536</v>
      </c>
      <c r="AC73" s="159" t="e">
        <f>LOOKUP(E$14,'Model homes'!$C$351:$C$375,'Model homes'!$G$351:$G$375)*AC62</f>
        <v>#DIV/0!</v>
      </c>
      <c r="AD73" s="159" t="e">
        <f>LOOKUP(F$14,'Model homes'!$C$351:$C$375,'Model homes'!$G$351:$G$375)*AD62</f>
        <v>#DIV/0!</v>
      </c>
      <c r="AE73" s="159" t="e">
        <f>LOOKUP(G$14,'Model homes'!$C$351:$C$375,'Model homes'!$G$351:$G$375)*AE62</f>
        <v>#DIV/0!</v>
      </c>
      <c r="AF73" s="159" t="e">
        <f>LOOKUP(H$14,'Model homes'!$C$351:$C$375,'Model homes'!$G$351:$G$375)*AF62</f>
        <v>#DIV/0!</v>
      </c>
      <c r="AH73" s="213" t="s">
        <v>22</v>
      </c>
      <c r="AJ73" s="207" t="s">
        <v>536</v>
      </c>
      <c r="AK73" s="159" t="e">
        <f>LOOKUP(E$14,'Model homes'!$C$351:$C$375,'Model homes'!$H$351:$H$375)*AK62</f>
        <v>#DIV/0!</v>
      </c>
      <c r="AL73" s="159" t="e">
        <f>LOOKUP(F$14,'Model homes'!$C$351:$C$375,'Model homes'!$H$351:$H$375)*AL62</f>
        <v>#DIV/0!</v>
      </c>
      <c r="AM73" s="159" t="e">
        <f>LOOKUP(G$14,'Model homes'!$C$351:$C$375,'Model homes'!$H$351:$H$375)*AM62</f>
        <v>#DIV/0!</v>
      </c>
      <c r="AN73" s="159" t="e">
        <f>LOOKUP(H$14,'Model homes'!$C$351:$C$375,'Model homes'!$H$351:$H$375)*AN62</f>
        <v>#DIV/0!</v>
      </c>
    </row>
    <row r="75" spans="3:40" x14ac:dyDescent="0.3">
      <c r="C75" s="15" t="s">
        <v>303</v>
      </c>
      <c r="D75" s="17" t="s">
        <v>301</v>
      </c>
      <c r="E75" s="94">
        <f>'Model homes'!E$170</f>
        <v>0.03</v>
      </c>
    </row>
    <row r="77" spans="3:40" x14ac:dyDescent="0.3">
      <c r="C77" s="51" t="s">
        <v>537</v>
      </c>
      <c r="E77" s="209"/>
      <c r="J77" s="51" t="s">
        <v>538</v>
      </c>
    </row>
    <row r="78" spans="3:40" x14ac:dyDescent="0.3">
      <c r="C78" s="209" t="s">
        <v>14</v>
      </c>
      <c r="D78" s="207" t="s">
        <v>536</v>
      </c>
      <c r="E78" s="159" t="e">
        <f t="shared" ref="E78:E86" si="3">M65+U65+AC65+AK65</f>
        <v>#DIV/0!</v>
      </c>
      <c r="F78" s="159" t="e">
        <f t="shared" ref="F78:F86" si="4">N65+V65+AD65+AL65</f>
        <v>#DIV/0!</v>
      </c>
      <c r="G78" s="159" t="e">
        <f t="shared" ref="G78:G86" si="5">O65+W65+AE65+AM65</f>
        <v>#DIV/0!</v>
      </c>
      <c r="H78" s="159" t="e">
        <f t="shared" ref="H78:H86" si="6">P65+X65+AF65+AN65</f>
        <v>#DIV/0!</v>
      </c>
      <c r="J78" s="63">
        <f>(1-(((1+'Model homes'!$E159)/(1+E$75))^E$14))/(E$75-'Model homes'!$E159)</f>
        <v>2.8985052991278306</v>
      </c>
    </row>
    <row r="79" spans="3:40" x14ac:dyDescent="0.3">
      <c r="C79" s="213" t="s">
        <v>15</v>
      </c>
      <c r="D79" s="207" t="s">
        <v>536</v>
      </c>
      <c r="E79" s="42">
        <f t="shared" si="3"/>
        <v>1.192411697301176</v>
      </c>
      <c r="F79" s="42">
        <f t="shared" si="4"/>
        <v>1.1072394332082351</v>
      </c>
      <c r="G79" s="42">
        <f t="shared" si="5"/>
        <v>1.2957115028730504</v>
      </c>
      <c r="H79" s="42">
        <f t="shared" si="6"/>
        <v>1.240181009892777</v>
      </c>
      <c r="J79" s="63">
        <f>(1-(((1+'Model homes'!$E160)/(1+E$75))^E$14))/(E$75-'Model homes'!$E160)</f>
        <v>2.8844349961152265</v>
      </c>
    </row>
    <row r="80" spans="3:40" x14ac:dyDescent="0.3">
      <c r="C80" s="210" t="s">
        <v>16</v>
      </c>
      <c r="D80" s="207" t="s">
        <v>536</v>
      </c>
      <c r="E80" s="42">
        <f t="shared" si="3"/>
        <v>0.96883450405720573</v>
      </c>
      <c r="F80" s="42">
        <f t="shared" si="4"/>
        <v>0.92269952767352925</v>
      </c>
      <c r="G80" s="42">
        <f t="shared" si="5"/>
        <v>1.0586911060060291</v>
      </c>
      <c r="H80" s="42">
        <f t="shared" si="6"/>
        <v>1.0334841749106474</v>
      </c>
      <c r="J80" s="63">
        <f>(1-(((1+'Model homes'!$E161)/(1+E$75))^E$14))/(E$75-'Model homes'!$E161)</f>
        <v>2.8985052991278306</v>
      </c>
    </row>
    <row r="81" spans="2:19" x14ac:dyDescent="0.3">
      <c r="C81" s="210" t="s">
        <v>17</v>
      </c>
      <c r="D81" s="207" t="s">
        <v>536</v>
      </c>
      <c r="E81" s="42">
        <f t="shared" si="3"/>
        <v>1.3058873130217996</v>
      </c>
      <c r="F81" s="42">
        <f t="shared" si="4"/>
        <v>1.2126096478059574</v>
      </c>
      <c r="G81" s="42">
        <f t="shared" si="5"/>
        <v>1.462679704223431</v>
      </c>
      <c r="H81" s="42">
        <f t="shared" si="6"/>
        <v>1.358202582493186</v>
      </c>
      <c r="J81" s="63">
        <f>(1-(((1+'Model homes'!$E162)/(1+E$75))^E$14))/(E$75-'Model homes'!$E162)</f>
        <v>2.8985052991278306</v>
      </c>
    </row>
    <row r="82" spans="2:19" x14ac:dyDescent="0.3">
      <c r="C82" s="210" t="s">
        <v>18</v>
      </c>
      <c r="D82" s="207" t="s">
        <v>536</v>
      </c>
      <c r="E82" s="42">
        <f t="shared" si="3"/>
        <v>1.8972845792847541</v>
      </c>
      <c r="F82" s="42">
        <f t="shared" si="4"/>
        <v>1.7856796040327096</v>
      </c>
      <c r="G82" s="42">
        <f t="shared" si="5"/>
        <v>2.1250835501528256</v>
      </c>
      <c r="H82" s="42">
        <f t="shared" si="6"/>
        <v>2.0000786354379536</v>
      </c>
      <c r="J82" s="63">
        <f>(1-(((1+'Model homes'!$E163)/(1+E$75))^E$14))/(E$75-'Model homes'!$E163)</f>
        <v>2.8985052991278306</v>
      </c>
    </row>
    <row r="83" spans="2:19" x14ac:dyDescent="0.3">
      <c r="C83" s="210" t="s">
        <v>19</v>
      </c>
      <c r="D83" s="207" t="s">
        <v>536</v>
      </c>
      <c r="E83" s="42">
        <f t="shared" si="3"/>
        <v>1.8972845792847541</v>
      </c>
      <c r="F83" s="42">
        <f t="shared" si="4"/>
        <v>1.7649158877067483</v>
      </c>
      <c r="G83" s="42">
        <f t="shared" si="5"/>
        <v>2.1250835501528256</v>
      </c>
      <c r="H83" s="42">
        <f t="shared" si="6"/>
        <v>1.9768219071189073</v>
      </c>
      <c r="J83" s="63">
        <f>(1-(((1+'Model homes'!$E164)/(1+E$75))^E$14))/(E$75-'Model homes'!$E164)</f>
        <v>2.8985052991278306</v>
      </c>
    </row>
    <row r="84" spans="2:19" x14ac:dyDescent="0.3">
      <c r="C84" s="213" t="s">
        <v>20</v>
      </c>
      <c r="D84" s="207" t="s">
        <v>536</v>
      </c>
      <c r="E84" s="42">
        <f t="shared" si="3"/>
        <v>0.25043602891017069</v>
      </c>
      <c r="F84" s="42">
        <f t="shared" si="4"/>
        <v>0.24467887882028169</v>
      </c>
      <c r="G84" s="42">
        <f t="shared" si="5"/>
        <v>0.27405644157337483</v>
      </c>
      <c r="H84" s="42">
        <f t="shared" si="6"/>
        <v>0.27405644157337483</v>
      </c>
      <c r="J84" s="63">
        <f>(1-(((1+'Model homes'!$E165)/(1+E$75))^E$14))/(E$75-'Model homes'!$E165)</f>
        <v>2.9097944866380918</v>
      </c>
    </row>
    <row r="85" spans="2:19" x14ac:dyDescent="0.3">
      <c r="C85" s="213" t="s">
        <v>21</v>
      </c>
      <c r="D85" s="207" t="s">
        <v>536</v>
      </c>
      <c r="E85" s="159" t="e">
        <f t="shared" si="3"/>
        <v>#DIV/0!</v>
      </c>
      <c r="F85" s="159" t="e">
        <f t="shared" si="4"/>
        <v>#DIV/0!</v>
      </c>
      <c r="G85" s="159" t="e">
        <f t="shared" si="5"/>
        <v>#DIV/0!</v>
      </c>
      <c r="H85" s="159" t="e">
        <f t="shared" si="6"/>
        <v>#DIV/0!</v>
      </c>
      <c r="J85" s="63">
        <f>(1-(((1+'Model homes'!$E166)/(1+E$75))^E$14))/(E$75-'Model homes'!$E166)</f>
        <v>2.8985052991278306</v>
      </c>
    </row>
    <row r="86" spans="2:19" x14ac:dyDescent="0.3">
      <c r="C86" s="213" t="s">
        <v>22</v>
      </c>
      <c r="D86" s="207" t="s">
        <v>536</v>
      </c>
      <c r="E86" s="159" t="e">
        <f t="shared" si="3"/>
        <v>#DIV/0!</v>
      </c>
      <c r="F86" s="159" t="e">
        <f t="shared" si="4"/>
        <v>#DIV/0!</v>
      </c>
      <c r="G86" s="159" t="e">
        <f t="shared" si="5"/>
        <v>#DIV/0!</v>
      </c>
      <c r="H86" s="159" t="e">
        <f t="shared" si="6"/>
        <v>#DIV/0!</v>
      </c>
      <c r="J86" s="63">
        <f>(1-(((1+'Model homes'!$E167)/(1+E$75))^E$14))/(E$75-'Model homes'!$E167)</f>
        <v>2.8985052991278306</v>
      </c>
    </row>
    <row r="87" spans="2:19" x14ac:dyDescent="0.3">
      <c r="C87" s="36"/>
      <c r="D87" s="96"/>
      <c r="E87" s="55"/>
      <c r="F87" s="55"/>
      <c r="G87" s="55"/>
      <c r="H87" s="55"/>
      <c r="R87" s="42"/>
      <c r="S87" s="99"/>
    </row>
    <row r="88" spans="2:19" ht="20.25" x14ac:dyDescent="0.35">
      <c r="C88" s="81" t="s">
        <v>732</v>
      </c>
    </row>
    <row r="89" spans="2:19" s="18" customFormat="1" ht="17.25" thickBot="1" x14ac:dyDescent="0.35">
      <c r="B89" s="19" t="s">
        <v>153</v>
      </c>
      <c r="C89" s="19" t="s">
        <v>154</v>
      </c>
      <c r="D89" s="19" t="s">
        <v>32</v>
      </c>
      <c r="E89" s="19" t="s">
        <v>155</v>
      </c>
      <c r="F89" s="19"/>
      <c r="G89" s="19" t="s">
        <v>155</v>
      </c>
      <c r="H89" s="19"/>
      <c r="I89" s="19"/>
      <c r="J89" s="56" t="s">
        <v>156</v>
      </c>
      <c r="K89" s="56"/>
    </row>
    <row r="90" spans="2:19" s="30" customFormat="1" ht="18" thickTop="1" thickBot="1" x14ac:dyDescent="0.35">
      <c r="B90" s="28"/>
      <c r="C90" s="29" t="s">
        <v>157</v>
      </c>
      <c r="D90" s="29"/>
      <c r="E90" s="335" t="s">
        <v>5</v>
      </c>
      <c r="F90" s="335"/>
      <c r="G90" s="335" t="s">
        <v>6</v>
      </c>
      <c r="H90" s="335"/>
      <c r="I90" s="28"/>
      <c r="J90" s="28"/>
      <c r="K90" s="57"/>
      <c r="M90" s="20"/>
    </row>
    <row r="91" spans="2:19" ht="18" thickTop="1" thickBot="1" x14ac:dyDescent="0.35">
      <c r="B91" s="19"/>
      <c r="C91" s="29" t="s">
        <v>158</v>
      </c>
      <c r="D91" s="29"/>
      <c r="E91" s="29" t="s">
        <v>7</v>
      </c>
      <c r="F91" s="29" t="s">
        <v>8</v>
      </c>
      <c r="G91" s="29" t="s">
        <v>7</v>
      </c>
      <c r="H91" s="29" t="s">
        <v>8</v>
      </c>
      <c r="I91" s="19"/>
      <c r="J91" s="19"/>
      <c r="K91" s="56"/>
      <c r="M91" s="82"/>
      <c r="N91" s="82"/>
    </row>
    <row r="92" spans="2:19" ht="17.25" thickTop="1" x14ac:dyDescent="0.3">
      <c r="C92" s="20" t="s">
        <v>14</v>
      </c>
      <c r="D92" s="20" t="s">
        <v>540</v>
      </c>
      <c r="E92" s="38">
        <f>'Campaign Input'!$G$12*'Data Input'!B$9*'Data Input'!B16</f>
        <v>0</v>
      </c>
      <c r="F92" s="38">
        <f>'Campaign Input'!$G$12*'Data Input'!C$9*'Data Input'!C16</f>
        <v>0</v>
      </c>
      <c r="G92" s="38">
        <f>'Campaign Input'!$G$12*'Data Input'!D$9*'Data Input'!D16</f>
        <v>0</v>
      </c>
      <c r="H92" s="38">
        <f>'Campaign Input'!$G$12*'Data Input'!E$9*'Data Input'!E16</f>
        <v>0</v>
      </c>
    </row>
    <row r="93" spans="2:19" x14ac:dyDescent="0.3">
      <c r="C93" s="14" t="s">
        <v>15</v>
      </c>
      <c r="D93" s="20" t="s">
        <v>540</v>
      </c>
      <c r="E93" s="38">
        <f>'Campaign Input'!$G$12*'Data Input'!B$9*'Data Input'!B17</f>
        <v>0</v>
      </c>
      <c r="F93" s="38">
        <f>'Campaign Input'!$G$12*'Data Input'!C$9*'Data Input'!C17</f>
        <v>0</v>
      </c>
      <c r="G93" s="38">
        <f>'Campaign Input'!$G$12*'Data Input'!D$9*'Data Input'!D17</f>
        <v>0</v>
      </c>
      <c r="H93" s="38">
        <f>'Campaign Input'!$G$12*'Data Input'!E$9*'Data Input'!E17</f>
        <v>0</v>
      </c>
    </row>
    <row r="94" spans="2:19" x14ac:dyDescent="0.3">
      <c r="C94" s="15" t="s">
        <v>16</v>
      </c>
      <c r="D94" s="20" t="s">
        <v>540</v>
      </c>
      <c r="E94" s="38">
        <f>'Campaign Input'!$G$12*'Data Input'!B$9*'Data Input'!B18</f>
        <v>0</v>
      </c>
      <c r="F94" s="38">
        <f>'Campaign Input'!$G$12*'Data Input'!C$9*'Data Input'!C18</f>
        <v>0</v>
      </c>
      <c r="G94" s="38">
        <f>'Campaign Input'!$G$12*'Data Input'!D$9*'Data Input'!D18</f>
        <v>0</v>
      </c>
      <c r="H94" s="38">
        <f>'Campaign Input'!$G$12*'Data Input'!E$9*'Data Input'!E18</f>
        <v>0</v>
      </c>
    </row>
    <row r="95" spans="2:19" x14ac:dyDescent="0.3">
      <c r="C95" s="15" t="s">
        <v>17</v>
      </c>
      <c r="D95" s="20" t="s">
        <v>540</v>
      </c>
      <c r="E95" s="38">
        <f>'Campaign Input'!$G$12*'Data Input'!B$9*'Data Input'!B19</f>
        <v>0</v>
      </c>
      <c r="F95" s="38">
        <f>'Campaign Input'!$G$12*'Data Input'!C$9*'Data Input'!C19</f>
        <v>0</v>
      </c>
      <c r="G95" s="38">
        <f>'Campaign Input'!$G$12*'Data Input'!D$9*'Data Input'!D19</f>
        <v>0</v>
      </c>
      <c r="H95" s="38">
        <f>'Campaign Input'!$G$12*'Data Input'!E$9*'Data Input'!E19</f>
        <v>0</v>
      </c>
    </row>
    <row r="96" spans="2:19" x14ac:dyDescent="0.3">
      <c r="C96" s="15" t="s">
        <v>18</v>
      </c>
      <c r="D96" s="20" t="s">
        <v>540</v>
      </c>
      <c r="E96" s="38">
        <f>'Campaign Input'!$G$12*'Data Input'!B$9*'Data Input'!B20</f>
        <v>0</v>
      </c>
      <c r="F96" s="38">
        <f>'Campaign Input'!$G$12*'Data Input'!C$9*'Data Input'!C20</f>
        <v>0</v>
      </c>
      <c r="G96" s="38">
        <f>'Campaign Input'!$G$12*'Data Input'!D$9*'Data Input'!D20</f>
        <v>0</v>
      </c>
      <c r="H96" s="38">
        <f>'Campaign Input'!$G$12*'Data Input'!E$9*'Data Input'!E20</f>
        <v>0</v>
      </c>
    </row>
    <row r="97" spans="3:10" x14ac:dyDescent="0.3">
      <c r="C97" s="15" t="s">
        <v>19</v>
      </c>
      <c r="D97" s="20" t="s">
        <v>540</v>
      </c>
      <c r="E97" s="38">
        <f>'Campaign Input'!$G$12*'Data Input'!B$9*'Data Input'!B21</f>
        <v>0</v>
      </c>
      <c r="F97" s="38">
        <f>'Campaign Input'!$G$12*'Data Input'!C$9*'Data Input'!C21</f>
        <v>0</v>
      </c>
      <c r="G97" s="38">
        <f>'Campaign Input'!$G$12*'Data Input'!D$9*'Data Input'!D21</f>
        <v>0</v>
      </c>
      <c r="H97" s="38">
        <f>'Campaign Input'!$G$12*'Data Input'!E$9*'Data Input'!E21</f>
        <v>0</v>
      </c>
    </row>
    <row r="98" spans="3:10" x14ac:dyDescent="0.3">
      <c r="C98" s="14" t="s">
        <v>20</v>
      </c>
      <c r="D98" s="20" t="s">
        <v>540</v>
      </c>
      <c r="E98" s="38">
        <f>'Campaign Input'!$G$12*'Data Input'!B$9*'Data Input'!B22</f>
        <v>0</v>
      </c>
      <c r="F98" s="38">
        <f>'Campaign Input'!$G$12*'Data Input'!C$9*'Data Input'!C22</f>
        <v>0</v>
      </c>
      <c r="G98" s="38">
        <f>'Campaign Input'!$G$12*'Data Input'!D$9*'Data Input'!D22</f>
        <v>0</v>
      </c>
      <c r="H98" s="38">
        <f>'Campaign Input'!$G$12*'Data Input'!E$9*'Data Input'!E22</f>
        <v>0</v>
      </c>
    </row>
    <row r="99" spans="3:10" x14ac:dyDescent="0.3">
      <c r="C99" s="14" t="s">
        <v>21</v>
      </c>
      <c r="D99" s="20" t="s">
        <v>540</v>
      </c>
      <c r="E99" s="38">
        <f>'Campaign Input'!$G$12*'Data Input'!B$9*'Data Input'!B23</f>
        <v>0</v>
      </c>
      <c r="F99" s="38">
        <f>'Campaign Input'!$G$12*'Data Input'!C$9*'Data Input'!C23</f>
        <v>0</v>
      </c>
      <c r="G99" s="38">
        <f>'Campaign Input'!$G$12*'Data Input'!D$9*'Data Input'!D23</f>
        <v>0</v>
      </c>
      <c r="H99" s="38">
        <f>'Campaign Input'!$G$12*'Data Input'!E$9*'Data Input'!E23</f>
        <v>0</v>
      </c>
    </row>
    <row r="100" spans="3:10" x14ac:dyDescent="0.3">
      <c r="C100" s="14" t="s">
        <v>22</v>
      </c>
      <c r="D100" s="20" t="s">
        <v>540</v>
      </c>
      <c r="E100" s="38">
        <f>'Campaign Input'!$G$12*'Data Input'!B$9*'Data Input'!B24</f>
        <v>0</v>
      </c>
      <c r="F100" s="38">
        <f>'Campaign Input'!$G$12*'Data Input'!C$9*'Data Input'!C24</f>
        <v>0</v>
      </c>
      <c r="G100" s="38">
        <f>'Campaign Input'!$G$12*'Data Input'!D$9*'Data Input'!D24</f>
        <v>0</v>
      </c>
      <c r="H100" s="38">
        <f>'Campaign Input'!$G$12*'Data Input'!E$9*'Data Input'!E24</f>
        <v>0</v>
      </c>
    </row>
    <row r="102" spans="3:10" x14ac:dyDescent="0.3">
      <c r="C102" s="51" t="s">
        <v>541</v>
      </c>
      <c r="D102" s="207"/>
      <c r="E102" s="208"/>
    </row>
    <row r="103" spans="3:10" x14ac:dyDescent="0.3">
      <c r="C103" s="209" t="s">
        <v>14</v>
      </c>
      <c r="D103" s="210" t="s">
        <v>542</v>
      </c>
      <c r="E103" s="42">
        <f t="shared" ref="E103:E111" si="7">E92*E21*E$14</f>
        <v>0</v>
      </c>
      <c r="F103" s="42">
        <f t="shared" ref="F103:H103" si="8">F92*F21*F$14</f>
        <v>0</v>
      </c>
      <c r="G103" s="42">
        <f t="shared" si="8"/>
        <v>0</v>
      </c>
      <c r="H103" s="42">
        <f t="shared" si="8"/>
        <v>0</v>
      </c>
    </row>
    <row r="104" spans="3:10" x14ac:dyDescent="0.3">
      <c r="C104" s="213" t="s">
        <v>15</v>
      </c>
      <c r="D104" s="210" t="s">
        <v>542</v>
      </c>
      <c r="E104" s="42">
        <f t="shared" si="7"/>
        <v>0</v>
      </c>
      <c r="F104" s="42">
        <f t="shared" ref="F104:H111" si="9">F93*F22*F$14</f>
        <v>0</v>
      </c>
      <c r="G104" s="42">
        <f t="shared" si="9"/>
        <v>0</v>
      </c>
      <c r="H104" s="42">
        <f t="shared" si="9"/>
        <v>0</v>
      </c>
    </row>
    <row r="105" spans="3:10" x14ac:dyDescent="0.3">
      <c r="C105" s="210" t="s">
        <v>16</v>
      </c>
      <c r="D105" s="210" t="s">
        <v>542</v>
      </c>
      <c r="E105" s="42">
        <f t="shared" si="7"/>
        <v>0</v>
      </c>
      <c r="F105" s="42">
        <f t="shared" si="9"/>
        <v>0</v>
      </c>
      <c r="G105" s="42">
        <f t="shared" si="9"/>
        <v>0</v>
      </c>
      <c r="H105" s="42">
        <f t="shared" si="9"/>
        <v>0</v>
      </c>
    </row>
    <row r="106" spans="3:10" x14ac:dyDescent="0.3">
      <c r="C106" s="210" t="s">
        <v>17</v>
      </c>
      <c r="D106" s="210" t="s">
        <v>542</v>
      </c>
      <c r="E106" s="42">
        <f t="shared" si="7"/>
        <v>0</v>
      </c>
      <c r="F106" s="42">
        <f t="shared" si="9"/>
        <v>0</v>
      </c>
      <c r="G106" s="42">
        <f t="shared" si="9"/>
        <v>0</v>
      </c>
      <c r="H106" s="42">
        <f t="shared" si="9"/>
        <v>0</v>
      </c>
    </row>
    <row r="107" spans="3:10" x14ac:dyDescent="0.3">
      <c r="C107" s="210" t="s">
        <v>18</v>
      </c>
      <c r="D107" s="210" t="s">
        <v>542</v>
      </c>
      <c r="E107" s="42">
        <f t="shared" si="7"/>
        <v>0</v>
      </c>
      <c r="F107" s="42">
        <f t="shared" si="9"/>
        <v>0</v>
      </c>
      <c r="G107" s="42">
        <f t="shared" si="9"/>
        <v>0</v>
      </c>
      <c r="H107" s="42">
        <f t="shared" si="9"/>
        <v>0</v>
      </c>
    </row>
    <row r="108" spans="3:10" x14ac:dyDescent="0.3">
      <c r="C108" s="210" t="s">
        <v>19</v>
      </c>
      <c r="D108" s="210" t="s">
        <v>542</v>
      </c>
      <c r="E108" s="42">
        <f t="shared" si="7"/>
        <v>0</v>
      </c>
      <c r="F108" s="42">
        <f t="shared" si="9"/>
        <v>0</v>
      </c>
      <c r="G108" s="42">
        <f t="shared" si="9"/>
        <v>0</v>
      </c>
      <c r="H108" s="42">
        <f t="shared" si="9"/>
        <v>0</v>
      </c>
    </row>
    <row r="109" spans="3:10" x14ac:dyDescent="0.3">
      <c r="C109" s="213" t="s">
        <v>20</v>
      </c>
      <c r="D109" s="210" t="s">
        <v>542</v>
      </c>
      <c r="E109" s="42">
        <f t="shared" si="7"/>
        <v>0</v>
      </c>
      <c r="F109" s="42">
        <f t="shared" si="9"/>
        <v>0</v>
      </c>
      <c r="G109" s="42">
        <f t="shared" si="9"/>
        <v>0</v>
      </c>
      <c r="H109" s="42">
        <f t="shared" si="9"/>
        <v>0</v>
      </c>
    </row>
    <row r="110" spans="3:10" x14ac:dyDescent="0.3">
      <c r="C110" s="213" t="s">
        <v>21</v>
      </c>
      <c r="D110" s="210" t="s">
        <v>542</v>
      </c>
      <c r="E110" s="42">
        <f t="shared" si="7"/>
        <v>0</v>
      </c>
      <c r="F110" s="42">
        <f t="shared" si="9"/>
        <v>0</v>
      </c>
      <c r="G110" s="42">
        <f t="shared" si="9"/>
        <v>0</v>
      </c>
      <c r="H110" s="42">
        <f t="shared" si="9"/>
        <v>0</v>
      </c>
    </row>
    <row r="111" spans="3:10" x14ac:dyDescent="0.3">
      <c r="C111" s="213" t="s">
        <v>22</v>
      </c>
      <c r="D111" s="210" t="s">
        <v>542</v>
      </c>
      <c r="E111" s="42">
        <f t="shared" si="7"/>
        <v>0</v>
      </c>
      <c r="F111" s="42">
        <f t="shared" si="9"/>
        <v>0</v>
      </c>
      <c r="G111" s="42">
        <f t="shared" si="9"/>
        <v>0</v>
      </c>
      <c r="H111" s="42">
        <f t="shared" si="9"/>
        <v>0</v>
      </c>
      <c r="J111" s="45"/>
    </row>
    <row r="112" spans="3:10" x14ac:dyDescent="0.3">
      <c r="C112" s="216" t="s">
        <v>54</v>
      </c>
      <c r="D112" s="210" t="s">
        <v>542</v>
      </c>
      <c r="E112" s="45">
        <f>SUM(E103:E111)</f>
        <v>0</v>
      </c>
      <c r="F112" s="45">
        <f>SUM(F103:F111)</f>
        <v>0</v>
      </c>
      <c r="G112" s="45">
        <f>SUM(G103:G111)</f>
        <v>0</v>
      </c>
      <c r="H112" s="45">
        <f>SUM(H103:H111)</f>
        <v>0</v>
      </c>
      <c r="J112" s="45">
        <f>SUM(E112:H112)</f>
        <v>0</v>
      </c>
    </row>
    <row r="113" spans="3:14" x14ac:dyDescent="0.3">
      <c r="C113" s="209"/>
      <c r="D113" s="210"/>
      <c r="E113" s="42"/>
    </row>
    <row r="114" spans="3:14" x14ac:dyDescent="0.3">
      <c r="C114" s="51" t="s">
        <v>726</v>
      </c>
      <c r="D114" s="207"/>
      <c r="E114" s="208"/>
      <c r="F114" s="208"/>
      <c r="G114" s="208"/>
      <c r="H114" s="208"/>
      <c r="J114" s="51"/>
      <c r="N114" s="169"/>
    </row>
    <row r="115" spans="3:14" x14ac:dyDescent="0.3">
      <c r="C115" s="209" t="s">
        <v>14</v>
      </c>
      <c r="D115" s="210" t="s">
        <v>69</v>
      </c>
      <c r="E115" s="211" t="e">
        <f t="shared" ref="E115:E123" si="10">E43*$J43*E92</f>
        <v>#VALUE!</v>
      </c>
      <c r="F115" s="211" t="e">
        <f t="shared" ref="F115:H115" si="11">F43*$J43*F92</f>
        <v>#VALUE!</v>
      </c>
      <c r="G115" s="211" t="e">
        <f t="shared" si="11"/>
        <v>#VALUE!</v>
      </c>
      <c r="H115" s="211" t="e">
        <f t="shared" si="11"/>
        <v>#VALUE!</v>
      </c>
      <c r="J115" s="212"/>
    </row>
    <row r="116" spans="3:14" x14ac:dyDescent="0.3">
      <c r="C116" s="213" t="s">
        <v>15</v>
      </c>
      <c r="D116" s="210" t="s">
        <v>69</v>
      </c>
      <c r="E116" s="211" t="e">
        <f t="shared" si="10"/>
        <v>#VALUE!</v>
      </c>
      <c r="F116" s="211" t="e">
        <f t="shared" ref="F116:H123" si="12">F44*$J44*F93</f>
        <v>#VALUE!</v>
      </c>
      <c r="G116" s="211" t="e">
        <f t="shared" si="12"/>
        <v>#VALUE!</v>
      </c>
      <c r="H116" s="211" t="e">
        <f t="shared" si="12"/>
        <v>#VALUE!</v>
      </c>
      <c r="J116" s="212"/>
    </row>
    <row r="117" spans="3:14" x14ac:dyDescent="0.3">
      <c r="C117" s="210" t="s">
        <v>16</v>
      </c>
      <c r="D117" s="210" t="s">
        <v>69</v>
      </c>
      <c r="E117" s="211" t="e">
        <f t="shared" si="10"/>
        <v>#VALUE!</v>
      </c>
      <c r="F117" s="211" t="e">
        <f t="shared" si="12"/>
        <v>#VALUE!</v>
      </c>
      <c r="G117" s="211" t="e">
        <f t="shared" si="12"/>
        <v>#VALUE!</v>
      </c>
      <c r="H117" s="211" t="e">
        <f t="shared" si="12"/>
        <v>#VALUE!</v>
      </c>
      <c r="J117" s="212"/>
    </row>
    <row r="118" spans="3:14" x14ac:dyDescent="0.3">
      <c r="C118" s="210" t="s">
        <v>17</v>
      </c>
      <c r="D118" s="210" t="s">
        <v>69</v>
      </c>
      <c r="E118" s="211" t="e">
        <f t="shared" si="10"/>
        <v>#VALUE!</v>
      </c>
      <c r="F118" s="211" t="e">
        <f t="shared" si="12"/>
        <v>#VALUE!</v>
      </c>
      <c r="G118" s="211" t="e">
        <f t="shared" si="12"/>
        <v>#VALUE!</v>
      </c>
      <c r="H118" s="211" t="e">
        <f t="shared" si="12"/>
        <v>#VALUE!</v>
      </c>
      <c r="J118" s="212"/>
    </row>
    <row r="119" spans="3:14" x14ac:dyDescent="0.3">
      <c r="C119" s="210" t="s">
        <v>18</v>
      </c>
      <c r="D119" s="210" t="s">
        <v>69</v>
      </c>
      <c r="E119" s="211" t="e">
        <f t="shared" si="10"/>
        <v>#VALUE!</v>
      </c>
      <c r="F119" s="211" t="e">
        <f t="shared" si="12"/>
        <v>#VALUE!</v>
      </c>
      <c r="G119" s="211" t="e">
        <f t="shared" si="12"/>
        <v>#VALUE!</v>
      </c>
      <c r="H119" s="211" t="e">
        <f t="shared" si="12"/>
        <v>#VALUE!</v>
      </c>
      <c r="J119" s="212"/>
    </row>
    <row r="120" spans="3:14" x14ac:dyDescent="0.3">
      <c r="C120" s="210" t="s">
        <v>19</v>
      </c>
      <c r="D120" s="210" t="s">
        <v>69</v>
      </c>
      <c r="E120" s="211" t="e">
        <f t="shared" si="10"/>
        <v>#VALUE!</v>
      </c>
      <c r="F120" s="211" t="e">
        <f t="shared" si="12"/>
        <v>#VALUE!</v>
      </c>
      <c r="G120" s="211" t="e">
        <f t="shared" si="12"/>
        <v>#VALUE!</v>
      </c>
      <c r="H120" s="211" t="e">
        <f t="shared" si="12"/>
        <v>#VALUE!</v>
      </c>
      <c r="J120" s="212"/>
    </row>
    <row r="121" spans="3:14" ht="15.95" customHeight="1" x14ac:dyDescent="0.3">
      <c r="C121" s="213" t="s">
        <v>20</v>
      </c>
      <c r="D121" s="210" t="s">
        <v>69</v>
      </c>
      <c r="E121" s="211" t="e">
        <f t="shared" si="10"/>
        <v>#VALUE!</v>
      </c>
      <c r="F121" s="211" t="e">
        <f t="shared" si="12"/>
        <v>#VALUE!</v>
      </c>
      <c r="G121" s="211" t="e">
        <f t="shared" si="12"/>
        <v>#VALUE!</v>
      </c>
      <c r="H121" s="211" t="e">
        <f t="shared" si="12"/>
        <v>#VALUE!</v>
      </c>
      <c r="J121" s="212"/>
    </row>
    <row r="122" spans="3:14" ht="15.95" customHeight="1" x14ac:dyDescent="0.3">
      <c r="C122" s="213" t="s">
        <v>21</v>
      </c>
      <c r="D122" s="210" t="s">
        <v>69</v>
      </c>
      <c r="E122" s="211" t="e">
        <f t="shared" si="10"/>
        <v>#VALUE!</v>
      </c>
      <c r="F122" s="211" t="e">
        <f t="shared" si="12"/>
        <v>#VALUE!</v>
      </c>
      <c r="G122" s="211" t="e">
        <f t="shared" si="12"/>
        <v>#VALUE!</v>
      </c>
      <c r="H122" s="211" t="e">
        <f t="shared" si="12"/>
        <v>#VALUE!</v>
      </c>
      <c r="J122" s="212"/>
      <c r="L122" s="17" t="s">
        <v>478</v>
      </c>
    </row>
    <row r="123" spans="3:14" x14ac:dyDescent="0.3">
      <c r="C123" s="213" t="s">
        <v>22</v>
      </c>
      <c r="D123" s="210" t="s">
        <v>69</v>
      </c>
      <c r="E123" s="211" t="e">
        <f t="shared" si="10"/>
        <v>#VALUE!</v>
      </c>
      <c r="F123" s="211" t="e">
        <f t="shared" si="12"/>
        <v>#VALUE!</v>
      </c>
      <c r="G123" s="211" t="e">
        <f t="shared" si="12"/>
        <v>#VALUE!</v>
      </c>
      <c r="H123" s="211" t="e">
        <f t="shared" si="12"/>
        <v>#VALUE!</v>
      </c>
      <c r="J123" s="212"/>
      <c r="L123" s="214" t="e">
        <f>AVERAGE(E115:H123)</f>
        <v>#VALUE!</v>
      </c>
    </row>
    <row r="124" spans="3:14" x14ac:dyDescent="0.3">
      <c r="C124" s="216" t="s">
        <v>54</v>
      </c>
      <c r="D124" s="210" t="s">
        <v>69</v>
      </c>
      <c r="E124" s="45" t="e">
        <f>SUM(E115:E123)</f>
        <v>#VALUE!</v>
      </c>
      <c r="F124" s="45" t="e">
        <f>SUM(F115:F123)</f>
        <v>#VALUE!</v>
      </c>
      <c r="G124" s="45" t="e">
        <f>SUM(G115:G123)</f>
        <v>#VALUE!</v>
      </c>
      <c r="H124" s="45" t="e">
        <f>SUM(H115:H123)</f>
        <v>#VALUE!</v>
      </c>
      <c r="J124" s="45" t="e">
        <f>SUM(E124:H124)</f>
        <v>#VALUE!</v>
      </c>
      <c r="L124" s="214"/>
    </row>
    <row r="125" spans="3:14" x14ac:dyDescent="0.3">
      <c r="C125" s="209"/>
      <c r="D125" s="210"/>
      <c r="E125" s="42"/>
      <c r="F125" s="211"/>
      <c r="G125" s="42"/>
      <c r="H125" s="42"/>
      <c r="J125" s="26"/>
    </row>
    <row r="126" spans="3:14" x14ac:dyDescent="0.3">
      <c r="C126" s="51" t="s">
        <v>522</v>
      </c>
      <c r="D126" s="84"/>
      <c r="E126" s="91"/>
    </row>
    <row r="127" spans="3:14" x14ac:dyDescent="0.3">
      <c r="C127" s="20" t="s">
        <v>14</v>
      </c>
      <c r="D127" s="84" t="s">
        <v>527</v>
      </c>
      <c r="E127" s="42" t="e">
        <f t="shared" ref="E127:H135" si="13">E92*E54</f>
        <v>#VALUE!</v>
      </c>
      <c r="F127" s="42" t="e">
        <f t="shared" si="13"/>
        <v>#VALUE!</v>
      </c>
      <c r="G127" s="42" t="e">
        <f t="shared" si="13"/>
        <v>#VALUE!</v>
      </c>
      <c r="H127" s="42" t="e">
        <f t="shared" si="13"/>
        <v>#VALUE!</v>
      </c>
    </row>
    <row r="128" spans="3:14" x14ac:dyDescent="0.3">
      <c r="C128" s="14" t="s">
        <v>15</v>
      </c>
      <c r="D128" s="84" t="s">
        <v>527</v>
      </c>
      <c r="E128" s="42">
        <f t="shared" si="13"/>
        <v>0</v>
      </c>
      <c r="F128" s="42">
        <f t="shared" si="13"/>
        <v>0</v>
      </c>
      <c r="G128" s="42">
        <f t="shared" si="13"/>
        <v>0</v>
      </c>
      <c r="H128" s="42">
        <f t="shared" si="13"/>
        <v>0</v>
      </c>
    </row>
    <row r="129" spans="3:10" x14ac:dyDescent="0.3">
      <c r="C129" s="15" t="s">
        <v>16</v>
      </c>
      <c r="D129" s="84" t="s">
        <v>527</v>
      </c>
      <c r="E129" s="42">
        <f t="shared" si="13"/>
        <v>0</v>
      </c>
      <c r="F129" s="42">
        <f t="shared" si="13"/>
        <v>0</v>
      </c>
      <c r="G129" s="42">
        <f t="shared" si="13"/>
        <v>0</v>
      </c>
      <c r="H129" s="42">
        <f t="shared" si="13"/>
        <v>0</v>
      </c>
    </row>
    <row r="130" spans="3:10" x14ac:dyDescent="0.3">
      <c r="C130" s="15" t="s">
        <v>17</v>
      </c>
      <c r="D130" s="84" t="s">
        <v>527</v>
      </c>
      <c r="E130" s="42">
        <f t="shared" si="13"/>
        <v>0</v>
      </c>
      <c r="F130" s="42">
        <f t="shared" si="13"/>
        <v>0</v>
      </c>
      <c r="G130" s="42">
        <f t="shared" si="13"/>
        <v>0</v>
      </c>
      <c r="H130" s="42">
        <f t="shared" si="13"/>
        <v>0</v>
      </c>
    </row>
    <row r="131" spans="3:10" x14ac:dyDescent="0.3">
      <c r="C131" s="15" t="s">
        <v>18</v>
      </c>
      <c r="D131" s="84" t="s">
        <v>527</v>
      </c>
      <c r="E131" s="42">
        <f t="shared" si="13"/>
        <v>0</v>
      </c>
      <c r="F131" s="42">
        <f t="shared" si="13"/>
        <v>0</v>
      </c>
      <c r="G131" s="42">
        <f t="shared" si="13"/>
        <v>0</v>
      </c>
      <c r="H131" s="42">
        <f t="shared" si="13"/>
        <v>0</v>
      </c>
    </row>
    <row r="132" spans="3:10" x14ac:dyDescent="0.3">
      <c r="C132" s="15" t="s">
        <v>19</v>
      </c>
      <c r="D132" s="84" t="s">
        <v>527</v>
      </c>
      <c r="E132" s="42">
        <f t="shared" si="13"/>
        <v>0</v>
      </c>
      <c r="F132" s="42">
        <f t="shared" si="13"/>
        <v>0</v>
      </c>
      <c r="G132" s="42">
        <f t="shared" si="13"/>
        <v>0</v>
      </c>
      <c r="H132" s="42">
        <f t="shared" si="13"/>
        <v>0</v>
      </c>
    </row>
    <row r="133" spans="3:10" x14ac:dyDescent="0.3">
      <c r="C133" s="14" t="s">
        <v>20</v>
      </c>
      <c r="D133" s="84" t="s">
        <v>527</v>
      </c>
      <c r="E133" s="42">
        <f t="shared" si="13"/>
        <v>0</v>
      </c>
      <c r="F133" s="42">
        <f t="shared" si="13"/>
        <v>0</v>
      </c>
      <c r="G133" s="42">
        <f t="shared" si="13"/>
        <v>0</v>
      </c>
      <c r="H133" s="42">
        <f t="shared" si="13"/>
        <v>0</v>
      </c>
    </row>
    <row r="134" spans="3:10" x14ac:dyDescent="0.3">
      <c r="C134" s="14" t="s">
        <v>21</v>
      </c>
      <c r="D134" s="84" t="s">
        <v>527</v>
      </c>
      <c r="E134" s="42" t="e">
        <f t="shared" si="13"/>
        <v>#N/A</v>
      </c>
      <c r="F134" s="42" t="e">
        <f t="shared" si="13"/>
        <v>#N/A</v>
      </c>
      <c r="G134" s="42" t="e">
        <f t="shared" si="13"/>
        <v>#N/A</v>
      </c>
      <c r="H134" s="42" t="e">
        <f t="shared" si="13"/>
        <v>#N/A</v>
      </c>
    </row>
    <row r="135" spans="3:10" x14ac:dyDescent="0.3">
      <c r="C135" s="14" t="s">
        <v>22</v>
      </c>
      <c r="D135" s="84" t="s">
        <v>527</v>
      </c>
      <c r="E135" s="42" t="e">
        <f t="shared" si="13"/>
        <v>#N/A</v>
      </c>
      <c r="F135" s="42" t="e">
        <f t="shared" si="13"/>
        <v>#N/A</v>
      </c>
      <c r="G135" s="42" t="e">
        <f t="shared" si="13"/>
        <v>#N/A</v>
      </c>
      <c r="H135" s="42" t="e">
        <f t="shared" si="13"/>
        <v>#N/A</v>
      </c>
    </row>
    <row r="136" spans="3:10" x14ac:dyDescent="0.3">
      <c r="C136" s="102" t="s">
        <v>54</v>
      </c>
      <c r="D136" s="133" t="s">
        <v>527</v>
      </c>
      <c r="E136" s="45" t="e">
        <f>SUM(E127:E135)</f>
        <v>#VALUE!</v>
      </c>
      <c r="F136" s="45" t="e">
        <f t="shared" ref="F136:H136" si="14">SUM(F127:F135)</f>
        <v>#VALUE!</v>
      </c>
      <c r="G136" s="45" t="e">
        <f t="shared" si="14"/>
        <v>#VALUE!</v>
      </c>
      <c r="H136" s="45" t="e">
        <f t="shared" si="14"/>
        <v>#VALUE!</v>
      </c>
      <c r="J136" s="45" t="e">
        <f>SUM(E136:H136)</f>
        <v>#VALUE!</v>
      </c>
    </row>
    <row r="137" spans="3:10" x14ac:dyDescent="0.3">
      <c r="C137" s="20"/>
      <c r="E137" s="42"/>
    </row>
    <row r="138" spans="3:10" x14ac:dyDescent="0.3">
      <c r="C138" s="51" t="s">
        <v>544</v>
      </c>
      <c r="D138" s="207"/>
      <c r="E138" s="208"/>
    </row>
    <row r="139" spans="3:10" x14ac:dyDescent="0.3">
      <c r="C139" s="209" t="s">
        <v>14</v>
      </c>
      <c r="D139" s="207" t="s">
        <v>605</v>
      </c>
      <c r="E139" s="97" t="e">
        <f>E127*E$14</f>
        <v>#VALUE!</v>
      </c>
      <c r="F139" s="97" t="e">
        <f t="shared" ref="F139:H139" si="15">F127*F$14</f>
        <v>#VALUE!</v>
      </c>
      <c r="G139" s="97" t="e">
        <f t="shared" si="15"/>
        <v>#VALUE!</v>
      </c>
      <c r="H139" s="97" t="e">
        <f t="shared" si="15"/>
        <v>#VALUE!</v>
      </c>
    </row>
    <row r="140" spans="3:10" x14ac:dyDescent="0.3">
      <c r="C140" s="213" t="s">
        <v>15</v>
      </c>
      <c r="D140" s="207" t="s">
        <v>605</v>
      </c>
      <c r="E140" s="97">
        <f t="shared" ref="E140:H147" si="16">E128*E$14</f>
        <v>0</v>
      </c>
      <c r="F140" s="97">
        <f t="shared" si="16"/>
        <v>0</v>
      </c>
      <c r="G140" s="97">
        <f t="shared" si="16"/>
        <v>0</v>
      </c>
      <c r="H140" s="97">
        <f t="shared" si="16"/>
        <v>0</v>
      </c>
    </row>
    <row r="141" spans="3:10" x14ac:dyDescent="0.3">
      <c r="C141" s="210" t="s">
        <v>16</v>
      </c>
      <c r="D141" s="207" t="s">
        <v>605</v>
      </c>
      <c r="E141" s="97">
        <f t="shared" si="16"/>
        <v>0</v>
      </c>
      <c r="F141" s="97">
        <f t="shared" si="16"/>
        <v>0</v>
      </c>
      <c r="G141" s="97">
        <f t="shared" si="16"/>
        <v>0</v>
      </c>
      <c r="H141" s="97">
        <f t="shared" si="16"/>
        <v>0</v>
      </c>
    </row>
    <row r="142" spans="3:10" x14ac:dyDescent="0.3">
      <c r="C142" s="210" t="s">
        <v>17</v>
      </c>
      <c r="D142" s="207" t="s">
        <v>605</v>
      </c>
      <c r="E142" s="97">
        <f t="shared" si="16"/>
        <v>0</v>
      </c>
      <c r="F142" s="97">
        <f t="shared" si="16"/>
        <v>0</v>
      </c>
      <c r="G142" s="97">
        <f t="shared" si="16"/>
        <v>0</v>
      </c>
      <c r="H142" s="97">
        <f t="shared" si="16"/>
        <v>0</v>
      </c>
    </row>
    <row r="143" spans="3:10" x14ac:dyDescent="0.3">
      <c r="C143" s="210" t="s">
        <v>18</v>
      </c>
      <c r="D143" s="207" t="s">
        <v>605</v>
      </c>
      <c r="E143" s="97">
        <f t="shared" si="16"/>
        <v>0</v>
      </c>
      <c r="F143" s="97">
        <f t="shared" si="16"/>
        <v>0</v>
      </c>
      <c r="G143" s="97">
        <f t="shared" si="16"/>
        <v>0</v>
      </c>
      <c r="H143" s="97">
        <f t="shared" si="16"/>
        <v>0</v>
      </c>
    </row>
    <row r="144" spans="3:10" x14ac:dyDescent="0.3">
      <c r="C144" s="210" t="s">
        <v>19</v>
      </c>
      <c r="D144" s="207" t="s">
        <v>605</v>
      </c>
      <c r="E144" s="97">
        <f t="shared" si="16"/>
        <v>0</v>
      </c>
      <c r="F144" s="97">
        <f t="shared" si="16"/>
        <v>0</v>
      </c>
      <c r="G144" s="97">
        <f t="shared" si="16"/>
        <v>0</v>
      </c>
      <c r="H144" s="97">
        <f t="shared" si="16"/>
        <v>0</v>
      </c>
    </row>
    <row r="145" spans="3:10" x14ac:dyDescent="0.3">
      <c r="C145" s="213" t="s">
        <v>20</v>
      </c>
      <c r="D145" s="207" t="s">
        <v>605</v>
      </c>
      <c r="E145" s="97">
        <f t="shared" si="16"/>
        <v>0</v>
      </c>
      <c r="F145" s="97">
        <f t="shared" si="16"/>
        <v>0</v>
      </c>
      <c r="G145" s="97">
        <f t="shared" si="16"/>
        <v>0</v>
      </c>
      <c r="H145" s="97">
        <f t="shared" si="16"/>
        <v>0</v>
      </c>
    </row>
    <row r="146" spans="3:10" x14ac:dyDescent="0.3">
      <c r="C146" s="213" t="s">
        <v>21</v>
      </c>
      <c r="D146" s="207" t="s">
        <v>605</v>
      </c>
      <c r="E146" s="97" t="e">
        <f>E134*E$14</f>
        <v>#N/A</v>
      </c>
      <c r="F146" s="97" t="e">
        <f t="shared" ref="F146:H146" si="17">F134*F$14</f>
        <v>#N/A</v>
      </c>
      <c r="G146" s="97" t="e">
        <f t="shared" si="17"/>
        <v>#N/A</v>
      </c>
      <c r="H146" s="97" t="e">
        <f t="shared" si="17"/>
        <v>#N/A</v>
      </c>
    </row>
    <row r="147" spans="3:10" x14ac:dyDescent="0.3">
      <c r="C147" s="213" t="s">
        <v>22</v>
      </c>
      <c r="D147" s="207" t="s">
        <v>605</v>
      </c>
      <c r="E147" s="97" t="e">
        <f t="shared" si="16"/>
        <v>#N/A</v>
      </c>
      <c r="F147" s="97" t="e">
        <f t="shared" si="16"/>
        <v>#N/A</v>
      </c>
      <c r="G147" s="97" t="e">
        <f t="shared" si="16"/>
        <v>#N/A</v>
      </c>
      <c r="H147" s="97" t="e">
        <f t="shared" si="16"/>
        <v>#N/A</v>
      </c>
    </row>
    <row r="148" spans="3:10" x14ac:dyDescent="0.3">
      <c r="C148" s="216" t="s">
        <v>54</v>
      </c>
      <c r="D148" s="218" t="s">
        <v>605</v>
      </c>
      <c r="E148" s="217" t="e">
        <f>SUM(E139:E147)</f>
        <v>#VALUE!</v>
      </c>
      <c r="F148" s="217" t="e">
        <f>SUM(F139:F147)</f>
        <v>#VALUE!</v>
      </c>
      <c r="G148" s="217" t="e">
        <f>SUM(G139:G147)</f>
        <v>#VALUE!</v>
      </c>
      <c r="H148" s="217" t="e">
        <f>SUM(H139:H147)</f>
        <v>#VALUE!</v>
      </c>
      <c r="J148" s="217" t="e">
        <f>SUM(E148:H148)</f>
        <v>#VALUE!</v>
      </c>
    </row>
    <row r="149" spans="3:10" x14ac:dyDescent="0.3">
      <c r="C149" s="209"/>
      <c r="E149" s="42"/>
    </row>
    <row r="150" spans="3:10" x14ac:dyDescent="0.3">
      <c r="C150" s="51" t="s">
        <v>313</v>
      </c>
      <c r="E150" s="91"/>
    </row>
    <row r="151" spans="3:10" x14ac:dyDescent="0.3">
      <c r="C151" s="20" t="s">
        <v>14</v>
      </c>
      <c r="D151" s="84" t="s">
        <v>272</v>
      </c>
      <c r="E151" s="42" t="e">
        <f t="shared" ref="E151:H159" si="18">E92*E65</f>
        <v>#VALUE!</v>
      </c>
      <c r="F151" s="42" t="e">
        <f t="shared" si="18"/>
        <v>#VALUE!</v>
      </c>
      <c r="G151" s="42" t="e">
        <f t="shared" si="18"/>
        <v>#VALUE!</v>
      </c>
      <c r="H151" s="42" t="e">
        <f t="shared" si="18"/>
        <v>#VALUE!</v>
      </c>
    </row>
    <row r="152" spans="3:10" x14ac:dyDescent="0.3">
      <c r="C152" s="14" t="s">
        <v>15</v>
      </c>
      <c r="D152" s="15" t="s">
        <v>272</v>
      </c>
      <c r="E152" s="42">
        <f t="shared" si="18"/>
        <v>0</v>
      </c>
      <c r="F152" s="42">
        <f t="shared" si="18"/>
        <v>0</v>
      </c>
      <c r="G152" s="42">
        <f t="shared" si="18"/>
        <v>0</v>
      </c>
      <c r="H152" s="42">
        <f t="shared" si="18"/>
        <v>0</v>
      </c>
    </row>
    <row r="153" spans="3:10" x14ac:dyDescent="0.3">
      <c r="C153" s="15" t="s">
        <v>16</v>
      </c>
      <c r="D153" s="15" t="s">
        <v>272</v>
      </c>
      <c r="E153" s="42">
        <f t="shared" si="18"/>
        <v>0</v>
      </c>
      <c r="F153" s="42">
        <f t="shared" si="18"/>
        <v>0</v>
      </c>
      <c r="G153" s="42">
        <f t="shared" si="18"/>
        <v>0</v>
      </c>
      <c r="H153" s="42">
        <f t="shared" si="18"/>
        <v>0</v>
      </c>
    </row>
    <row r="154" spans="3:10" x14ac:dyDescent="0.3">
      <c r="C154" s="15" t="s">
        <v>17</v>
      </c>
      <c r="D154" s="15" t="s">
        <v>272</v>
      </c>
      <c r="E154" s="42">
        <f t="shared" si="18"/>
        <v>0</v>
      </c>
      <c r="F154" s="42">
        <f t="shared" si="18"/>
        <v>0</v>
      </c>
      <c r="G154" s="42">
        <f t="shared" si="18"/>
        <v>0</v>
      </c>
      <c r="H154" s="42">
        <f t="shared" si="18"/>
        <v>0</v>
      </c>
    </row>
    <row r="155" spans="3:10" x14ac:dyDescent="0.3">
      <c r="C155" s="15" t="s">
        <v>18</v>
      </c>
      <c r="D155" s="15" t="s">
        <v>272</v>
      </c>
      <c r="E155" s="42">
        <f t="shared" si="18"/>
        <v>0</v>
      </c>
      <c r="F155" s="42">
        <f t="shared" si="18"/>
        <v>0</v>
      </c>
      <c r="G155" s="42">
        <f t="shared" si="18"/>
        <v>0</v>
      </c>
      <c r="H155" s="42">
        <f t="shared" si="18"/>
        <v>0</v>
      </c>
    </row>
    <row r="156" spans="3:10" x14ac:dyDescent="0.3">
      <c r="C156" s="15" t="s">
        <v>19</v>
      </c>
      <c r="D156" s="15" t="s">
        <v>272</v>
      </c>
      <c r="E156" s="42">
        <f t="shared" si="18"/>
        <v>0</v>
      </c>
      <c r="F156" s="42">
        <f t="shared" si="18"/>
        <v>0</v>
      </c>
      <c r="G156" s="42">
        <f t="shared" si="18"/>
        <v>0</v>
      </c>
      <c r="H156" s="42">
        <f t="shared" si="18"/>
        <v>0</v>
      </c>
    </row>
    <row r="157" spans="3:10" x14ac:dyDescent="0.3">
      <c r="C157" s="14" t="s">
        <v>20</v>
      </c>
      <c r="D157" s="15" t="s">
        <v>272</v>
      </c>
      <c r="E157" s="42">
        <f t="shared" si="18"/>
        <v>0</v>
      </c>
      <c r="F157" s="42">
        <f t="shared" si="18"/>
        <v>0</v>
      </c>
      <c r="G157" s="42">
        <f t="shared" si="18"/>
        <v>0</v>
      </c>
      <c r="H157" s="42">
        <f t="shared" si="18"/>
        <v>0</v>
      </c>
    </row>
    <row r="158" spans="3:10" x14ac:dyDescent="0.3">
      <c r="C158" s="14" t="s">
        <v>21</v>
      </c>
      <c r="D158" s="15" t="s">
        <v>272</v>
      </c>
      <c r="E158" s="42" t="e">
        <f t="shared" si="18"/>
        <v>#N/A</v>
      </c>
      <c r="F158" s="42" t="e">
        <f t="shared" si="18"/>
        <v>#N/A</v>
      </c>
      <c r="G158" s="42" t="e">
        <f t="shared" si="18"/>
        <v>#N/A</v>
      </c>
      <c r="H158" s="42" t="e">
        <f t="shared" si="18"/>
        <v>#N/A</v>
      </c>
    </row>
    <row r="159" spans="3:10" x14ac:dyDescent="0.3">
      <c r="C159" s="14" t="s">
        <v>22</v>
      </c>
      <c r="D159" s="15" t="s">
        <v>272</v>
      </c>
      <c r="E159" s="42" t="e">
        <f t="shared" si="18"/>
        <v>#N/A</v>
      </c>
      <c r="F159" s="42" t="e">
        <f t="shared" si="18"/>
        <v>#N/A</v>
      </c>
      <c r="G159" s="42" t="e">
        <f t="shared" si="18"/>
        <v>#N/A</v>
      </c>
      <c r="H159" s="42" t="e">
        <f t="shared" si="18"/>
        <v>#N/A</v>
      </c>
    </row>
    <row r="160" spans="3:10" x14ac:dyDescent="0.3">
      <c r="C160" s="102" t="s">
        <v>54</v>
      </c>
      <c r="D160" s="84" t="s">
        <v>272</v>
      </c>
      <c r="E160" s="45" t="e">
        <f>SUM(E151:E159)</f>
        <v>#VALUE!</v>
      </c>
      <c r="F160" s="45" t="e">
        <f t="shared" ref="F160:H160" si="19">SUM(F151:F159)</f>
        <v>#VALUE!</v>
      </c>
      <c r="G160" s="45" t="e">
        <f t="shared" si="19"/>
        <v>#VALUE!</v>
      </c>
      <c r="H160" s="45" t="e">
        <f t="shared" si="19"/>
        <v>#VALUE!</v>
      </c>
      <c r="J160" s="45" t="e">
        <f>SUM(E160:H160)</f>
        <v>#VALUE!</v>
      </c>
    </row>
    <row r="161" spans="3:10" s="172" customFormat="1" x14ac:dyDescent="0.3">
      <c r="C161" s="17"/>
      <c r="D161" s="17"/>
      <c r="E161" s="17"/>
      <c r="F161" s="17"/>
      <c r="G161" s="17"/>
      <c r="H161" s="17"/>
      <c r="I161" s="17"/>
      <c r="J161" s="17"/>
    </row>
    <row r="162" spans="3:10" x14ac:dyDescent="0.3">
      <c r="C162" s="51" t="s">
        <v>546</v>
      </c>
      <c r="E162" s="208"/>
    </row>
    <row r="163" spans="3:10" x14ac:dyDescent="0.3">
      <c r="C163" s="209" t="s">
        <v>14</v>
      </c>
      <c r="D163" s="207" t="s">
        <v>69</v>
      </c>
      <c r="E163" s="42" t="e">
        <f t="shared" ref="E163:E171" si="20">E151*$J78</f>
        <v>#VALUE!</v>
      </c>
      <c r="F163" s="42" t="e">
        <f t="shared" ref="F163:H163" si="21">F151*$J78</f>
        <v>#VALUE!</v>
      </c>
      <c r="G163" s="42" t="e">
        <f t="shared" si="21"/>
        <v>#VALUE!</v>
      </c>
      <c r="H163" s="42" t="e">
        <f t="shared" si="21"/>
        <v>#VALUE!</v>
      </c>
    </row>
    <row r="164" spans="3:10" x14ac:dyDescent="0.3">
      <c r="C164" s="213" t="s">
        <v>15</v>
      </c>
      <c r="D164" s="207" t="s">
        <v>69</v>
      </c>
      <c r="E164" s="42">
        <f t="shared" si="20"/>
        <v>0</v>
      </c>
      <c r="F164" s="42">
        <f t="shared" ref="F164:H171" si="22">F152*$J79</f>
        <v>0</v>
      </c>
      <c r="G164" s="42">
        <f t="shared" si="22"/>
        <v>0</v>
      </c>
      <c r="H164" s="42">
        <f t="shared" si="22"/>
        <v>0</v>
      </c>
    </row>
    <row r="165" spans="3:10" x14ac:dyDescent="0.3">
      <c r="C165" s="210" t="s">
        <v>16</v>
      </c>
      <c r="D165" s="207" t="s">
        <v>69</v>
      </c>
      <c r="E165" s="42">
        <f t="shared" si="20"/>
        <v>0</v>
      </c>
      <c r="F165" s="42">
        <f t="shared" si="22"/>
        <v>0</v>
      </c>
      <c r="G165" s="42">
        <f t="shared" si="22"/>
        <v>0</v>
      </c>
      <c r="H165" s="42">
        <f t="shared" si="22"/>
        <v>0</v>
      </c>
    </row>
    <row r="166" spans="3:10" x14ac:dyDescent="0.3">
      <c r="C166" s="210" t="s">
        <v>17</v>
      </c>
      <c r="D166" s="207" t="s">
        <v>69</v>
      </c>
      <c r="E166" s="42">
        <f t="shared" si="20"/>
        <v>0</v>
      </c>
      <c r="F166" s="42">
        <f t="shared" si="22"/>
        <v>0</v>
      </c>
      <c r="G166" s="42">
        <f t="shared" si="22"/>
        <v>0</v>
      </c>
      <c r="H166" s="42">
        <f t="shared" si="22"/>
        <v>0</v>
      </c>
    </row>
    <row r="167" spans="3:10" x14ac:dyDescent="0.3">
      <c r="C167" s="210" t="s">
        <v>18</v>
      </c>
      <c r="D167" s="207" t="s">
        <v>69</v>
      </c>
      <c r="E167" s="42">
        <f t="shared" si="20"/>
        <v>0</v>
      </c>
      <c r="F167" s="42">
        <f t="shared" si="22"/>
        <v>0</v>
      </c>
      <c r="G167" s="42">
        <f t="shared" si="22"/>
        <v>0</v>
      </c>
      <c r="H167" s="42">
        <f t="shared" si="22"/>
        <v>0</v>
      </c>
    </row>
    <row r="168" spans="3:10" x14ac:dyDescent="0.3">
      <c r="C168" s="210" t="s">
        <v>19</v>
      </c>
      <c r="D168" s="207" t="s">
        <v>69</v>
      </c>
      <c r="E168" s="42">
        <f t="shared" si="20"/>
        <v>0</v>
      </c>
      <c r="F168" s="42">
        <f t="shared" si="22"/>
        <v>0</v>
      </c>
      <c r="G168" s="42">
        <f t="shared" si="22"/>
        <v>0</v>
      </c>
      <c r="H168" s="42">
        <f t="shared" si="22"/>
        <v>0</v>
      </c>
    </row>
    <row r="169" spans="3:10" x14ac:dyDescent="0.3">
      <c r="C169" s="213" t="s">
        <v>20</v>
      </c>
      <c r="D169" s="207" t="s">
        <v>69</v>
      </c>
      <c r="E169" s="42">
        <f t="shared" si="20"/>
        <v>0</v>
      </c>
      <c r="F169" s="42">
        <f t="shared" si="22"/>
        <v>0</v>
      </c>
      <c r="G169" s="42">
        <f t="shared" si="22"/>
        <v>0</v>
      </c>
      <c r="H169" s="42">
        <f t="shared" si="22"/>
        <v>0</v>
      </c>
    </row>
    <row r="170" spans="3:10" x14ac:dyDescent="0.3">
      <c r="C170" s="213" t="s">
        <v>21</v>
      </c>
      <c r="D170" s="207" t="s">
        <v>69</v>
      </c>
      <c r="E170" s="42" t="e">
        <f t="shared" si="20"/>
        <v>#N/A</v>
      </c>
      <c r="F170" s="42" t="e">
        <f t="shared" si="22"/>
        <v>#N/A</v>
      </c>
      <c r="G170" s="42" t="e">
        <f t="shared" si="22"/>
        <v>#N/A</v>
      </c>
      <c r="H170" s="42" t="e">
        <f t="shared" si="22"/>
        <v>#N/A</v>
      </c>
    </row>
    <row r="171" spans="3:10" x14ac:dyDescent="0.3">
      <c r="C171" s="213" t="s">
        <v>22</v>
      </c>
      <c r="D171" s="207" t="s">
        <v>69</v>
      </c>
      <c r="E171" s="42" t="e">
        <f t="shared" si="20"/>
        <v>#N/A</v>
      </c>
      <c r="F171" s="42" t="e">
        <f t="shared" si="22"/>
        <v>#N/A</v>
      </c>
      <c r="G171" s="42" t="e">
        <f t="shared" si="22"/>
        <v>#N/A</v>
      </c>
      <c r="H171" s="42" t="e">
        <f t="shared" si="22"/>
        <v>#N/A</v>
      </c>
    </row>
    <row r="172" spans="3:10" x14ac:dyDescent="0.3">
      <c r="C172" s="216" t="s">
        <v>54</v>
      </c>
      <c r="D172" s="207" t="s">
        <v>69</v>
      </c>
      <c r="E172" s="45" t="e">
        <f>SUM(E163:E171)</f>
        <v>#VALUE!</v>
      </c>
      <c r="F172" s="45" t="e">
        <f>SUM(F163:F171)</f>
        <v>#VALUE!</v>
      </c>
      <c r="G172" s="45" t="e">
        <f>SUM(G163:G171)</f>
        <v>#VALUE!</v>
      </c>
      <c r="H172" s="45" t="e">
        <f>SUM(H163:H171)</f>
        <v>#VALUE!</v>
      </c>
      <c r="J172" s="45" t="e">
        <f>SUM(E172:H172)</f>
        <v>#VALUE!</v>
      </c>
    </row>
    <row r="174" spans="3:10" s="172" customFormat="1" x14ac:dyDescent="0.3">
      <c r="C174" s="51" t="s">
        <v>547</v>
      </c>
      <c r="D174" s="17"/>
      <c r="E174" s="17"/>
      <c r="F174" s="17"/>
      <c r="G174" s="17"/>
      <c r="H174" s="17"/>
      <c r="I174" s="17"/>
      <c r="J174" s="17"/>
    </row>
    <row r="175" spans="3:10" s="172" customFormat="1" x14ac:dyDescent="0.3">
      <c r="C175" s="209" t="s">
        <v>14</v>
      </c>
      <c r="D175" s="207" t="s">
        <v>548</v>
      </c>
      <c r="E175" s="160" t="e">
        <f t="shared" ref="E175:E183" si="23">E92*(M54+U54+AC54+AK54)</f>
        <v>#DIV/0!</v>
      </c>
      <c r="F175" s="160" t="e">
        <f t="shared" ref="F175:F183" si="24">F92*(N54+V54+AD54+AL54)</f>
        <v>#DIV/0!</v>
      </c>
      <c r="G175" s="160" t="e">
        <f t="shared" ref="G175:G183" si="25">G92*(O54+W54+AE54+AM54)</f>
        <v>#DIV/0!</v>
      </c>
      <c r="H175" s="160" t="e">
        <f t="shared" ref="H175:H183" si="26">H92*(P54+X54+AF54+AN54)</f>
        <v>#DIV/0!</v>
      </c>
      <c r="I175" s="17"/>
      <c r="J175" s="17"/>
    </row>
    <row r="176" spans="3:10" s="172" customFormat="1" x14ac:dyDescent="0.3">
      <c r="C176" s="213" t="s">
        <v>15</v>
      </c>
      <c r="D176" s="207" t="s">
        <v>548</v>
      </c>
      <c r="E176" s="130">
        <f t="shared" si="23"/>
        <v>0</v>
      </c>
      <c r="F176" s="130">
        <f t="shared" si="24"/>
        <v>0</v>
      </c>
      <c r="G176" s="130">
        <f t="shared" si="25"/>
        <v>0</v>
      </c>
      <c r="H176" s="130">
        <f t="shared" si="26"/>
        <v>0</v>
      </c>
      <c r="I176" s="17"/>
      <c r="J176" s="17"/>
    </row>
    <row r="177" spans="3:10" s="172" customFormat="1" x14ac:dyDescent="0.3">
      <c r="C177" s="210" t="s">
        <v>16</v>
      </c>
      <c r="D177" s="207" t="s">
        <v>548</v>
      </c>
      <c r="E177" s="130">
        <f t="shared" si="23"/>
        <v>0</v>
      </c>
      <c r="F177" s="130">
        <f t="shared" si="24"/>
        <v>0</v>
      </c>
      <c r="G177" s="130">
        <f t="shared" si="25"/>
        <v>0</v>
      </c>
      <c r="H177" s="130">
        <f t="shared" si="26"/>
        <v>0</v>
      </c>
      <c r="I177" s="17"/>
      <c r="J177" s="17"/>
    </row>
    <row r="178" spans="3:10" s="172" customFormat="1" x14ac:dyDescent="0.3">
      <c r="C178" s="210" t="s">
        <v>17</v>
      </c>
      <c r="D178" s="207" t="s">
        <v>548</v>
      </c>
      <c r="E178" s="130">
        <f t="shared" si="23"/>
        <v>0</v>
      </c>
      <c r="F178" s="130">
        <f t="shared" si="24"/>
        <v>0</v>
      </c>
      <c r="G178" s="130">
        <f t="shared" si="25"/>
        <v>0</v>
      </c>
      <c r="H178" s="130">
        <f t="shared" si="26"/>
        <v>0</v>
      </c>
      <c r="I178" s="17"/>
      <c r="J178" s="17"/>
    </row>
    <row r="179" spans="3:10" s="172" customFormat="1" x14ac:dyDescent="0.3">
      <c r="C179" s="210" t="s">
        <v>18</v>
      </c>
      <c r="D179" s="207" t="s">
        <v>548</v>
      </c>
      <c r="E179" s="130">
        <f t="shared" si="23"/>
        <v>0</v>
      </c>
      <c r="F179" s="130">
        <f t="shared" si="24"/>
        <v>0</v>
      </c>
      <c r="G179" s="130">
        <f t="shared" si="25"/>
        <v>0</v>
      </c>
      <c r="H179" s="130">
        <f t="shared" si="26"/>
        <v>0</v>
      </c>
      <c r="I179" s="17"/>
      <c r="J179" s="17"/>
    </row>
    <row r="180" spans="3:10" s="172" customFormat="1" x14ac:dyDescent="0.3">
      <c r="C180" s="210" t="s">
        <v>19</v>
      </c>
      <c r="D180" s="207" t="s">
        <v>548</v>
      </c>
      <c r="E180" s="130">
        <f t="shared" si="23"/>
        <v>0</v>
      </c>
      <c r="F180" s="130">
        <f t="shared" si="24"/>
        <v>0</v>
      </c>
      <c r="G180" s="130">
        <f t="shared" si="25"/>
        <v>0</v>
      </c>
      <c r="H180" s="130">
        <f t="shared" si="26"/>
        <v>0</v>
      </c>
      <c r="I180" s="17"/>
      <c r="J180" s="17"/>
    </row>
    <row r="181" spans="3:10" s="172" customFormat="1" x14ac:dyDescent="0.3">
      <c r="C181" s="213" t="s">
        <v>20</v>
      </c>
      <c r="D181" s="207" t="s">
        <v>548</v>
      </c>
      <c r="E181" s="130">
        <f t="shared" si="23"/>
        <v>0</v>
      </c>
      <c r="F181" s="130">
        <f t="shared" si="24"/>
        <v>0</v>
      </c>
      <c r="G181" s="130">
        <f t="shared" si="25"/>
        <v>0</v>
      </c>
      <c r="H181" s="130">
        <f t="shared" si="26"/>
        <v>0</v>
      </c>
      <c r="I181" s="17"/>
      <c r="J181" s="17"/>
    </row>
    <row r="182" spans="3:10" s="172" customFormat="1" x14ac:dyDescent="0.3">
      <c r="C182" s="213" t="s">
        <v>21</v>
      </c>
      <c r="D182" s="207" t="s">
        <v>548</v>
      </c>
      <c r="E182" s="160" t="e">
        <f t="shared" si="23"/>
        <v>#DIV/0!</v>
      </c>
      <c r="F182" s="160" t="e">
        <f t="shared" si="24"/>
        <v>#DIV/0!</v>
      </c>
      <c r="G182" s="160" t="e">
        <f t="shared" si="25"/>
        <v>#DIV/0!</v>
      </c>
      <c r="H182" s="160" t="e">
        <f t="shared" si="26"/>
        <v>#DIV/0!</v>
      </c>
      <c r="I182" s="17"/>
      <c r="J182" s="17"/>
    </row>
    <row r="183" spans="3:10" s="172" customFormat="1" x14ac:dyDescent="0.3">
      <c r="C183" s="213" t="s">
        <v>22</v>
      </c>
      <c r="D183" s="207" t="s">
        <v>548</v>
      </c>
      <c r="E183" s="160" t="e">
        <f t="shared" si="23"/>
        <v>#DIV/0!</v>
      </c>
      <c r="F183" s="160" t="e">
        <f t="shared" si="24"/>
        <v>#DIV/0!</v>
      </c>
      <c r="G183" s="160" t="e">
        <f t="shared" si="25"/>
        <v>#DIV/0!</v>
      </c>
      <c r="H183" s="160" t="e">
        <f t="shared" si="26"/>
        <v>#DIV/0!</v>
      </c>
      <c r="I183" s="17"/>
      <c r="J183" s="17"/>
    </row>
    <row r="184" spans="3:10" x14ac:dyDescent="0.3">
      <c r="C184" s="102" t="s">
        <v>54</v>
      </c>
      <c r="D184" s="84" t="s">
        <v>548</v>
      </c>
      <c r="E184" s="200" t="e">
        <f>SUM(E175:E183)</f>
        <v>#DIV/0!</v>
      </c>
      <c r="F184" s="200" t="e">
        <f t="shared" ref="F184:H184" si="27">SUM(F175:F183)</f>
        <v>#DIV/0!</v>
      </c>
      <c r="G184" s="200" t="e">
        <f t="shared" si="27"/>
        <v>#DIV/0!</v>
      </c>
      <c r="H184" s="200" t="e">
        <f t="shared" si="27"/>
        <v>#DIV/0!</v>
      </c>
      <c r="J184" s="200" t="e">
        <f>SUM(E184:H184)</f>
        <v>#DIV/0!</v>
      </c>
    </row>
    <row r="185" spans="3:10" s="172" customFormat="1" x14ac:dyDescent="0.3">
      <c r="C185" s="17"/>
      <c r="D185" s="17"/>
      <c r="E185" s="17"/>
      <c r="F185" s="17"/>
      <c r="G185" s="17"/>
      <c r="H185" s="17"/>
      <c r="I185" s="17"/>
      <c r="J185" s="17"/>
    </row>
    <row r="186" spans="3:10" x14ac:dyDescent="0.3">
      <c r="C186" s="51" t="s">
        <v>549</v>
      </c>
    </row>
    <row r="187" spans="3:10" x14ac:dyDescent="0.3">
      <c r="C187" s="209" t="s">
        <v>14</v>
      </c>
      <c r="D187" s="207" t="s">
        <v>550</v>
      </c>
      <c r="E187" s="160" t="e">
        <f>E175*$E$14</f>
        <v>#DIV/0!</v>
      </c>
      <c r="F187" s="160" t="e">
        <f t="shared" ref="F187:H187" si="28">F175*$E$14</f>
        <v>#DIV/0!</v>
      </c>
      <c r="G187" s="160" t="e">
        <f t="shared" si="28"/>
        <v>#DIV/0!</v>
      </c>
      <c r="H187" s="160" t="e">
        <f t="shared" si="28"/>
        <v>#DIV/0!</v>
      </c>
    </row>
    <row r="188" spans="3:10" x14ac:dyDescent="0.3">
      <c r="C188" s="213" t="s">
        <v>15</v>
      </c>
      <c r="D188" s="207" t="s">
        <v>550</v>
      </c>
      <c r="E188" s="130">
        <f t="shared" ref="E188:H195" si="29">E176*$E$14</f>
        <v>0</v>
      </c>
      <c r="F188" s="130">
        <f t="shared" si="29"/>
        <v>0</v>
      </c>
      <c r="G188" s="130">
        <f t="shared" si="29"/>
        <v>0</v>
      </c>
      <c r="H188" s="130">
        <f t="shared" si="29"/>
        <v>0</v>
      </c>
    </row>
    <row r="189" spans="3:10" x14ac:dyDescent="0.3">
      <c r="C189" s="210" t="s">
        <v>16</v>
      </c>
      <c r="D189" s="207" t="s">
        <v>550</v>
      </c>
      <c r="E189" s="130">
        <f t="shared" si="29"/>
        <v>0</v>
      </c>
      <c r="F189" s="130">
        <f t="shared" si="29"/>
        <v>0</v>
      </c>
      <c r="G189" s="130">
        <f t="shared" si="29"/>
        <v>0</v>
      </c>
      <c r="H189" s="130">
        <f t="shared" si="29"/>
        <v>0</v>
      </c>
    </row>
    <row r="190" spans="3:10" x14ac:dyDescent="0.3">
      <c r="C190" s="210" t="s">
        <v>17</v>
      </c>
      <c r="D190" s="207" t="s">
        <v>550</v>
      </c>
      <c r="E190" s="130">
        <f t="shared" si="29"/>
        <v>0</v>
      </c>
      <c r="F190" s="130">
        <f t="shared" si="29"/>
        <v>0</v>
      </c>
      <c r="G190" s="130">
        <f t="shared" si="29"/>
        <v>0</v>
      </c>
      <c r="H190" s="130">
        <f t="shared" si="29"/>
        <v>0</v>
      </c>
    </row>
    <row r="191" spans="3:10" x14ac:dyDescent="0.3">
      <c r="C191" s="210" t="s">
        <v>18</v>
      </c>
      <c r="D191" s="207" t="s">
        <v>550</v>
      </c>
      <c r="E191" s="130">
        <f t="shared" si="29"/>
        <v>0</v>
      </c>
      <c r="F191" s="130">
        <f t="shared" si="29"/>
        <v>0</v>
      </c>
      <c r="G191" s="130">
        <f t="shared" si="29"/>
        <v>0</v>
      </c>
      <c r="H191" s="130">
        <f t="shared" si="29"/>
        <v>0</v>
      </c>
    </row>
    <row r="192" spans="3:10" x14ac:dyDescent="0.3">
      <c r="C192" s="210" t="s">
        <v>19</v>
      </c>
      <c r="D192" s="207" t="s">
        <v>550</v>
      </c>
      <c r="E192" s="130">
        <f t="shared" si="29"/>
        <v>0</v>
      </c>
      <c r="F192" s="130">
        <f t="shared" si="29"/>
        <v>0</v>
      </c>
      <c r="G192" s="130">
        <f t="shared" si="29"/>
        <v>0</v>
      </c>
      <c r="H192" s="130">
        <f t="shared" si="29"/>
        <v>0</v>
      </c>
    </row>
    <row r="193" spans="3:10" x14ac:dyDescent="0.3">
      <c r="C193" s="213" t="s">
        <v>20</v>
      </c>
      <c r="D193" s="207" t="s">
        <v>550</v>
      </c>
      <c r="E193" s="130">
        <f t="shared" si="29"/>
        <v>0</v>
      </c>
      <c r="F193" s="130">
        <f t="shared" si="29"/>
        <v>0</v>
      </c>
      <c r="G193" s="130">
        <f t="shared" si="29"/>
        <v>0</v>
      </c>
      <c r="H193" s="130">
        <f t="shared" si="29"/>
        <v>0</v>
      </c>
    </row>
    <row r="194" spans="3:10" x14ac:dyDescent="0.3">
      <c r="C194" s="213" t="s">
        <v>21</v>
      </c>
      <c r="D194" s="207" t="s">
        <v>550</v>
      </c>
      <c r="E194" s="160" t="e">
        <f t="shared" si="29"/>
        <v>#DIV/0!</v>
      </c>
      <c r="F194" s="160" t="e">
        <f t="shared" si="29"/>
        <v>#DIV/0!</v>
      </c>
      <c r="G194" s="160" t="e">
        <f t="shared" si="29"/>
        <v>#DIV/0!</v>
      </c>
      <c r="H194" s="160" t="e">
        <f t="shared" si="29"/>
        <v>#DIV/0!</v>
      </c>
    </row>
    <row r="195" spans="3:10" x14ac:dyDescent="0.3">
      <c r="C195" s="213" t="s">
        <v>22</v>
      </c>
      <c r="D195" s="207" t="s">
        <v>550</v>
      </c>
      <c r="E195" s="160" t="e">
        <f t="shared" si="29"/>
        <v>#DIV/0!</v>
      </c>
      <c r="F195" s="160" t="e">
        <f t="shared" si="29"/>
        <v>#DIV/0!</v>
      </c>
      <c r="G195" s="160" t="e">
        <f t="shared" si="29"/>
        <v>#DIV/0!</v>
      </c>
      <c r="H195" s="160" t="e">
        <f t="shared" si="29"/>
        <v>#DIV/0!</v>
      </c>
    </row>
    <row r="196" spans="3:10" x14ac:dyDescent="0.3">
      <c r="C196" s="216" t="s">
        <v>54</v>
      </c>
      <c r="D196" s="207" t="s">
        <v>550</v>
      </c>
      <c r="E196" s="200" t="e">
        <f>SUM(E187:E195)</f>
        <v>#DIV/0!</v>
      </c>
      <c r="F196" s="200" t="e">
        <f>SUM(F187:F195)</f>
        <v>#DIV/0!</v>
      </c>
      <c r="G196" s="200" t="e">
        <f>SUM(G187:G195)</f>
        <v>#DIV/0!</v>
      </c>
      <c r="H196" s="200" t="e">
        <f>SUM(H187:H195)</f>
        <v>#DIV/0!</v>
      </c>
      <c r="J196" s="200" t="e">
        <f>SUM(E196:H196)</f>
        <v>#DIV/0!</v>
      </c>
    </row>
    <row r="198" spans="3:10" s="172" customFormat="1" x14ac:dyDescent="0.3">
      <c r="C198" s="51" t="s">
        <v>537</v>
      </c>
      <c r="D198" s="17"/>
      <c r="E198" s="159"/>
      <c r="F198" s="17"/>
      <c r="G198" s="17"/>
      <c r="H198" s="17"/>
      <c r="I198" s="17"/>
      <c r="J198" s="17"/>
    </row>
    <row r="199" spans="3:10" s="172" customFormat="1" x14ac:dyDescent="0.3">
      <c r="C199" s="209" t="s">
        <v>14</v>
      </c>
      <c r="D199" s="207" t="s">
        <v>272</v>
      </c>
      <c r="E199" s="159" t="e">
        <f t="shared" ref="E199:H207" si="30">E92*E78</f>
        <v>#DIV/0!</v>
      </c>
      <c r="F199" s="159" t="e">
        <f t="shared" si="30"/>
        <v>#DIV/0!</v>
      </c>
      <c r="G199" s="159" t="e">
        <f t="shared" si="30"/>
        <v>#DIV/0!</v>
      </c>
      <c r="H199" s="159" t="e">
        <f t="shared" si="30"/>
        <v>#DIV/0!</v>
      </c>
      <c r="I199" s="17"/>
      <c r="J199" s="17"/>
    </row>
    <row r="200" spans="3:10" s="172" customFormat="1" x14ac:dyDescent="0.3">
      <c r="C200" s="213" t="s">
        <v>15</v>
      </c>
      <c r="D200" s="207" t="s">
        <v>272</v>
      </c>
      <c r="E200" s="42">
        <f t="shared" si="30"/>
        <v>0</v>
      </c>
      <c r="F200" s="42">
        <f t="shared" si="30"/>
        <v>0</v>
      </c>
      <c r="G200" s="42">
        <f t="shared" si="30"/>
        <v>0</v>
      </c>
      <c r="H200" s="42">
        <f t="shared" si="30"/>
        <v>0</v>
      </c>
      <c r="I200" s="17"/>
      <c r="J200" s="17"/>
    </row>
    <row r="201" spans="3:10" s="172" customFormat="1" x14ac:dyDescent="0.3">
      <c r="C201" s="210" t="s">
        <v>16</v>
      </c>
      <c r="D201" s="207" t="s">
        <v>272</v>
      </c>
      <c r="E201" s="42">
        <f t="shared" si="30"/>
        <v>0</v>
      </c>
      <c r="F201" s="42">
        <f t="shared" si="30"/>
        <v>0</v>
      </c>
      <c r="G201" s="42">
        <f t="shared" si="30"/>
        <v>0</v>
      </c>
      <c r="H201" s="42">
        <f t="shared" si="30"/>
        <v>0</v>
      </c>
      <c r="I201" s="17"/>
      <c r="J201" s="17"/>
    </row>
    <row r="202" spans="3:10" s="172" customFormat="1" x14ac:dyDescent="0.3">
      <c r="C202" s="210" t="s">
        <v>17</v>
      </c>
      <c r="D202" s="207" t="s">
        <v>272</v>
      </c>
      <c r="E202" s="42">
        <f t="shared" si="30"/>
        <v>0</v>
      </c>
      <c r="F202" s="42">
        <f t="shared" si="30"/>
        <v>0</v>
      </c>
      <c r="G202" s="42">
        <f t="shared" si="30"/>
        <v>0</v>
      </c>
      <c r="H202" s="42">
        <f t="shared" si="30"/>
        <v>0</v>
      </c>
      <c r="I202" s="17"/>
      <c r="J202" s="17"/>
    </row>
    <row r="203" spans="3:10" s="172" customFormat="1" x14ac:dyDescent="0.3">
      <c r="C203" s="210" t="s">
        <v>18</v>
      </c>
      <c r="D203" s="207" t="s">
        <v>272</v>
      </c>
      <c r="E203" s="42">
        <f t="shared" si="30"/>
        <v>0</v>
      </c>
      <c r="F203" s="42">
        <f t="shared" si="30"/>
        <v>0</v>
      </c>
      <c r="G203" s="42">
        <f t="shared" si="30"/>
        <v>0</v>
      </c>
      <c r="H203" s="42">
        <f t="shared" si="30"/>
        <v>0</v>
      </c>
      <c r="I203" s="17"/>
      <c r="J203" s="17"/>
    </row>
    <row r="204" spans="3:10" s="172" customFormat="1" x14ac:dyDescent="0.3">
      <c r="C204" s="210" t="s">
        <v>19</v>
      </c>
      <c r="D204" s="207" t="s">
        <v>272</v>
      </c>
      <c r="E204" s="42">
        <f t="shared" si="30"/>
        <v>0</v>
      </c>
      <c r="F204" s="42">
        <f t="shared" si="30"/>
        <v>0</v>
      </c>
      <c r="G204" s="42">
        <f t="shared" si="30"/>
        <v>0</v>
      </c>
      <c r="H204" s="42">
        <f t="shared" si="30"/>
        <v>0</v>
      </c>
      <c r="I204" s="17"/>
      <c r="J204" s="17"/>
    </row>
    <row r="205" spans="3:10" s="172" customFormat="1" x14ac:dyDescent="0.3">
      <c r="C205" s="213" t="s">
        <v>20</v>
      </c>
      <c r="D205" s="207" t="s">
        <v>272</v>
      </c>
      <c r="E205" s="42">
        <f t="shared" si="30"/>
        <v>0</v>
      </c>
      <c r="F205" s="42">
        <f t="shared" si="30"/>
        <v>0</v>
      </c>
      <c r="G205" s="42">
        <f t="shared" si="30"/>
        <v>0</v>
      </c>
      <c r="H205" s="42">
        <f t="shared" si="30"/>
        <v>0</v>
      </c>
      <c r="I205" s="17"/>
      <c r="J205" s="17"/>
    </row>
    <row r="206" spans="3:10" s="172" customFormat="1" x14ac:dyDescent="0.3">
      <c r="C206" s="213" t="s">
        <v>21</v>
      </c>
      <c r="D206" s="207" t="s">
        <v>272</v>
      </c>
      <c r="E206" s="159" t="e">
        <f t="shared" si="30"/>
        <v>#DIV/0!</v>
      </c>
      <c r="F206" s="159" t="e">
        <f t="shared" si="30"/>
        <v>#DIV/0!</v>
      </c>
      <c r="G206" s="159" t="e">
        <f t="shared" si="30"/>
        <v>#DIV/0!</v>
      </c>
      <c r="H206" s="159" t="e">
        <f t="shared" si="30"/>
        <v>#DIV/0!</v>
      </c>
      <c r="I206" s="17"/>
      <c r="J206" s="17"/>
    </row>
    <row r="207" spans="3:10" s="172" customFormat="1" x14ac:dyDescent="0.3">
      <c r="C207" s="213" t="s">
        <v>22</v>
      </c>
      <c r="D207" s="207" t="s">
        <v>272</v>
      </c>
      <c r="E207" s="159" t="e">
        <f t="shared" si="30"/>
        <v>#DIV/0!</v>
      </c>
      <c r="F207" s="159" t="e">
        <f t="shared" si="30"/>
        <v>#DIV/0!</v>
      </c>
      <c r="G207" s="159" t="e">
        <f t="shared" si="30"/>
        <v>#DIV/0!</v>
      </c>
      <c r="H207" s="159" t="e">
        <f t="shared" si="30"/>
        <v>#DIV/0!</v>
      </c>
      <c r="I207" s="17"/>
      <c r="J207" s="17"/>
    </row>
    <row r="208" spans="3:10" x14ac:dyDescent="0.3">
      <c r="C208" s="102" t="s">
        <v>54</v>
      </c>
      <c r="D208" s="133" t="s">
        <v>272</v>
      </c>
      <c r="E208" s="45" t="e">
        <f>SUM(E199:E207)</f>
        <v>#DIV/0!</v>
      </c>
      <c r="F208" s="45" t="e">
        <f t="shared" ref="F208:H208" si="31">SUM(F199:F207)</f>
        <v>#DIV/0!</v>
      </c>
      <c r="G208" s="45" t="e">
        <f t="shared" si="31"/>
        <v>#DIV/0!</v>
      </c>
      <c r="H208" s="45" t="e">
        <f t="shared" si="31"/>
        <v>#DIV/0!</v>
      </c>
      <c r="J208" s="45" t="e">
        <f>SUM(E208:H208)</f>
        <v>#DIV/0!</v>
      </c>
    </row>
    <row r="210" spans="3:10" x14ac:dyDescent="0.3">
      <c r="C210" s="51" t="s">
        <v>551</v>
      </c>
    </row>
    <row r="211" spans="3:10" x14ac:dyDescent="0.3">
      <c r="C211" s="209" t="s">
        <v>14</v>
      </c>
      <c r="D211" s="207" t="s">
        <v>69</v>
      </c>
      <c r="E211" s="159" t="e">
        <f t="shared" ref="E211:E219" si="32">E199*$J78</f>
        <v>#DIV/0!</v>
      </c>
      <c r="F211" s="159" t="e">
        <f t="shared" ref="F211:H211" si="33">F199*$J78</f>
        <v>#DIV/0!</v>
      </c>
      <c r="G211" s="159" t="e">
        <f t="shared" si="33"/>
        <v>#DIV/0!</v>
      </c>
      <c r="H211" s="159" t="e">
        <f t="shared" si="33"/>
        <v>#DIV/0!</v>
      </c>
    </row>
    <row r="212" spans="3:10" x14ac:dyDescent="0.3">
      <c r="C212" s="213" t="s">
        <v>15</v>
      </c>
      <c r="D212" s="207" t="s">
        <v>69</v>
      </c>
      <c r="E212" s="42">
        <f t="shared" si="32"/>
        <v>0</v>
      </c>
      <c r="F212" s="42">
        <f t="shared" ref="F212:H219" si="34">F200*$J79</f>
        <v>0</v>
      </c>
      <c r="G212" s="42">
        <f t="shared" si="34"/>
        <v>0</v>
      </c>
      <c r="H212" s="42">
        <f t="shared" si="34"/>
        <v>0</v>
      </c>
    </row>
    <row r="213" spans="3:10" x14ac:dyDescent="0.3">
      <c r="C213" s="210" t="s">
        <v>16</v>
      </c>
      <c r="D213" s="207" t="s">
        <v>69</v>
      </c>
      <c r="E213" s="42">
        <f t="shared" si="32"/>
        <v>0</v>
      </c>
      <c r="F213" s="42">
        <f t="shared" si="34"/>
        <v>0</v>
      </c>
      <c r="G213" s="42">
        <f t="shared" si="34"/>
        <v>0</v>
      </c>
      <c r="H213" s="42">
        <f t="shared" si="34"/>
        <v>0</v>
      </c>
    </row>
    <row r="214" spans="3:10" x14ac:dyDescent="0.3">
      <c r="C214" s="210" t="s">
        <v>17</v>
      </c>
      <c r="D214" s="207" t="s">
        <v>69</v>
      </c>
      <c r="E214" s="42">
        <f t="shared" si="32"/>
        <v>0</v>
      </c>
      <c r="F214" s="42">
        <f t="shared" si="34"/>
        <v>0</v>
      </c>
      <c r="G214" s="42">
        <f t="shared" si="34"/>
        <v>0</v>
      </c>
      <c r="H214" s="42">
        <f t="shared" si="34"/>
        <v>0</v>
      </c>
    </row>
    <row r="215" spans="3:10" x14ac:dyDescent="0.3">
      <c r="C215" s="210" t="s">
        <v>18</v>
      </c>
      <c r="D215" s="207" t="s">
        <v>69</v>
      </c>
      <c r="E215" s="42">
        <f t="shared" si="32"/>
        <v>0</v>
      </c>
      <c r="F215" s="42">
        <f t="shared" si="34"/>
        <v>0</v>
      </c>
      <c r="G215" s="42">
        <f t="shared" si="34"/>
        <v>0</v>
      </c>
      <c r="H215" s="42">
        <f t="shared" si="34"/>
        <v>0</v>
      </c>
    </row>
    <row r="216" spans="3:10" x14ac:dyDescent="0.3">
      <c r="C216" s="210" t="s">
        <v>19</v>
      </c>
      <c r="D216" s="207" t="s">
        <v>69</v>
      </c>
      <c r="E216" s="42">
        <f t="shared" si="32"/>
        <v>0</v>
      </c>
      <c r="F216" s="42">
        <f t="shared" si="34"/>
        <v>0</v>
      </c>
      <c r="G216" s="42">
        <f t="shared" si="34"/>
        <v>0</v>
      </c>
      <c r="H216" s="42">
        <f t="shared" si="34"/>
        <v>0</v>
      </c>
    </row>
    <row r="217" spans="3:10" x14ac:dyDescent="0.3">
      <c r="C217" s="213" t="s">
        <v>20</v>
      </c>
      <c r="D217" s="207" t="s">
        <v>69</v>
      </c>
      <c r="E217" s="42">
        <f t="shared" si="32"/>
        <v>0</v>
      </c>
      <c r="F217" s="42">
        <f t="shared" si="34"/>
        <v>0</v>
      </c>
      <c r="G217" s="42">
        <f t="shared" si="34"/>
        <v>0</v>
      </c>
      <c r="H217" s="42">
        <f t="shared" si="34"/>
        <v>0</v>
      </c>
    </row>
    <row r="218" spans="3:10" x14ac:dyDescent="0.3">
      <c r="C218" s="213" t="s">
        <v>21</v>
      </c>
      <c r="D218" s="207" t="s">
        <v>69</v>
      </c>
      <c r="E218" s="159" t="e">
        <f t="shared" si="32"/>
        <v>#DIV/0!</v>
      </c>
      <c r="F218" s="159" t="e">
        <f t="shared" si="34"/>
        <v>#DIV/0!</v>
      </c>
      <c r="G218" s="159" t="e">
        <f t="shared" si="34"/>
        <v>#DIV/0!</v>
      </c>
      <c r="H218" s="159" t="e">
        <f t="shared" si="34"/>
        <v>#DIV/0!</v>
      </c>
    </row>
    <row r="219" spans="3:10" x14ac:dyDescent="0.3">
      <c r="C219" s="213" t="s">
        <v>22</v>
      </c>
      <c r="D219" s="207" t="s">
        <v>69</v>
      </c>
      <c r="E219" s="159" t="e">
        <f t="shared" si="32"/>
        <v>#DIV/0!</v>
      </c>
      <c r="F219" s="159" t="e">
        <f t="shared" si="34"/>
        <v>#DIV/0!</v>
      </c>
      <c r="G219" s="159" t="e">
        <f t="shared" si="34"/>
        <v>#DIV/0!</v>
      </c>
      <c r="H219" s="159" t="e">
        <f t="shared" si="34"/>
        <v>#DIV/0!</v>
      </c>
    </row>
    <row r="220" spans="3:10" x14ac:dyDescent="0.3">
      <c r="C220" s="216" t="s">
        <v>54</v>
      </c>
      <c r="D220" s="207" t="s">
        <v>69</v>
      </c>
      <c r="E220" s="45" t="e">
        <f>SUM(E211:E219)</f>
        <v>#DIV/0!</v>
      </c>
      <c r="F220" s="45" t="e">
        <f>SUM(F211:F219)</f>
        <v>#DIV/0!</v>
      </c>
      <c r="G220" s="45" t="e">
        <f>SUM(G211:G219)</f>
        <v>#DIV/0!</v>
      </c>
      <c r="H220" s="45" t="e">
        <f>SUM(H211:H219)</f>
        <v>#DIV/0!</v>
      </c>
      <c r="J220" s="45" t="e">
        <f>SUM(E220:H220)</f>
        <v>#DIV/0!</v>
      </c>
    </row>
  </sheetData>
  <sheetProtection algorithmName="SHA-512" hashValue="VUexwnzJnfE4lehqoiyrA5R4Y9xwcEGFLZWOPXOUBM47hkLoT0NyskpT9p3TfwTGMF0y1noqhEB52M5FYUL+Cw==" saltValue="3RAr5Vg65DSyUH8PDGjF8g==" spinCount="100000" sheet="1" objects="1" scenarios="1"/>
  <mergeCells count="6">
    <mergeCell ref="E90:F90"/>
    <mergeCell ref="G90:H90"/>
    <mergeCell ref="E6:F6"/>
    <mergeCell ref="G6:H6"/>
    <mergeCell ref="E18:F18"/>
    <mergeCell ref="G18:H18"/>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CFC70-0518-4812-AD02-EB2AFEDAD3B0}">
  <sheetPr>
    <tabColor theme="4" tint="0.59999389629810485"/>
  </sheetPr>
  <dimension ref="B2:AN220"/>
  <sheetViews>
    <sheetView zoomScaleNormal="100" workbookViewId="0">
      <pane ySplit="7" topLeftCell="A8" activePane="bottomLeft" state="frozen"/>
      <selection activeCell="J9" sqref="J9"/>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16384" width="8.85546875" style="17"/>
  </cols>
  <sheetData>
    <row r="2" spans="2:24" s="16" customFormat="1" ht="17.25" x14ac:dyDescent="0.3">
      <c r="C2" s="16" t="s">
        <v>145</v>
      </c>
      <c r="D2" s="16" t="s">
        <v>146</v>
      </c>
      <c r="M2" s="201"/>
    </row>
    <row r="3" spans="2:24" x14ac:dyDescent="0.3">
      <c r="M3" s="169"/>
    </row>
    <row r="4" spans="2:24" ht="20.25" x14ac:dyDescent="0.35">
      <c r="B4" s="77"/>
      <c r="C4" s="81" t="s">
        <v>733</v>
      </c>
      <c r="D4" s="76"/>
    </row>
    <row r="5" spans="2:24" s="18" customFormat="1" ht="17.25" thickBot="1" x14ac:dyDescent="0.35">
      <c r="B5" s="233" t="s">
        <v>153</v>
      </c>
      <c r="C5" s="19" t="s">
        <v>154</v>
      </c>
      <c r="D5" s="19" t="s">
        <v>32</v>
      </c>
      <c r="E5" s="19" t="s">
        <v>155</v>
      </c>
      <c r="F5" s="19"/>
      <c r="G5" s="19" t="s">
        <v>155</v>
      </c>
      <c r="H5" s="19"/>
      <c r="I5" s="19"/>
      <c r="J5" s="56" t="s">
        <v>156</v>
      </c>
      <c r="K5" s="56"/>
    </row>
    <row r="6" spans="2:24" s="30" customFormat="1" ht="18" thickTop="1" thickBot="1" x14ac:dyDescent="0.35">
      <c r="B6" s="234"/>
      <c r="C6" s="29" t="s">
        <v>157</v>
      </c>
      <c r="D6" s="29"/>
      <c r="E6" s="335" t="s">
        <v>5</v>
      </c>
      <c r="F6" s="335"/>
      <c r="G6" s="335" t="s">
        <v>6</v>
      </c>
      <c r="H6" s="335"/>
      <c r="I6" s="28"/>
      <c r="J6" s="28"/>
      <c r="K6" s="57"/>
    </row>
    <row r="7" spans="2:24" ht="18" thickTop="1" thickBot="1" x14ac:dyDescent="0.35">
      <c r="B7" s="233"/>
      <c r="C7" s="29" t="s">
        <v>158</v>
      </c>
      <c r="D7" s="29"/>
      <c r="E7" s="29" t="s">
        <v>7</v>
      </c>
      <c r="F7" s="29" t="s">
        <v>8</v>
      </c>
      <c r="G7" s="29" t="s">
        <v>7</v>
      </c>
      <c r="H7" s="29" t="s">
        <v>8</v>
      </c>
      <c r="I7" s="19"/>
      <c r="J7" s="19"/>
      <c r="K7" s="56"/>
    </row>
    <row r="8" spans="2:24" ht="17.25" thickTop="1" x14ac:dyDescent="0.3">
      <c r="C8" s="49" t="s">
        <v>717</v>
      </c>
    </row>
    <row r="9" spans="2:24" x14ac:dyDescent="0.3">
      <c r="C9" s="96" t="s">
        <v>101</v>
      </c>
      <c r="D9" s="15" t="s">
        <v>188</v>
      </c>
      <c r="E9" s="25">
        <v>25</v>
      </c>
      <c r="F9" s="148" t="s">
        <v>718</v>
      </c>
      <c r="G9" s="97">
        <f>J9*E9%</f>
        <v>1.75</v>
      </c>
      <c r="H9" s="26" t="s">
        <v>211</v>
      </c>
      <c r="I9" s="148" t="s">
        <v>719</v>
      </c>
      <c r="J9" s="83">
        <f>'Model homes'!E80</f>
        <v>7</v>
      </c>
      <c r="K9" s="26" t="s">
        <v>211</v>
      </c>
      <c r="M9" s="129"/>
      <c r="N9" s="129"/>
      <c r="O9" s="129"/>
      <c r="P9" s="129"/>
    </row>
    <row r="11" spans="2:24" x14ac:dyDescent="0.3">
      <c r="C11" s="51" t="s">
        <v>723</v>
      </c>
    </row>
    <row r="12" spans="2:24" x14ac:dyDescent="0.3">
      <c r="C12" s="96" t="s">
        <v>101</v>
      </c>
      <c r="D12" s="15" t="s">
        <v>191</v>
      </c>
      <c r="E12" s="42">
        <f>$G9/'Model homes'!$E$83*'Model homes'!E$86</f>
        <v>95.086879999999979</v>
      </c>
      <c r="F12" s="42">
        <f>$G9/'Model homes'!$E$83*'Model homes'!F$86</f>
        <v>95.086879999999979</v>
      </c>
      <c r="G12" s="42">
        <f>$G9/'Model homes'!$E$83*'Model homes'!G$86</f>
        <v>71.315159999999992</v>
      </c>
      <c r="H12" s="42">
        <f>$G9/'Model homes'!$E$83*'Model homes'!H$86</f>
        <v>71.315159999999992</v>
      </c>
    </row>
    <row r="13" spans="2:24" x14ac:dyDescent="0.3">
      <c r="C13" s="232" t="s">
        <v>302</v>
      </c>
      <c r="D13" s="232" t="s">
        <v>301</v>
      </c>
      <c r="E13" s="231">
        <f>'Model homes'!$E169</f>
        <v>0.04</v>
      </c>
      <c r="F13" s="231">
        <f>'Model homes'!$E169</f>
        <v>0.04</v>
      </c>
      <c r="G13" s="231">
        <f>'Model homes'!$E169</f>
        <v>0.04</v>
      </c>
      <c r="H13" s="231">
        <f>'Model homes'!$E169</f>
        <v>0.04</v>
      </c>
    </row>
    <row r="14" spans="2:24" x14ac:dyDescent="0.3">
      <c r="C14" s="14" t="s">
        <v>511</v>
      </c>
      <c r="D14" s="84" t="s">
        <v>512</v>
      </c>
      <c r="E14" s="25">
        <v>3</v>
      </c>
      <c r="F14" s="91">
        <f>E14</f>
        <v>3</v>
      </c>
      <c r="G14" s="91">
        <f t="shared" ref="G14:H14" si="0">F14</f>
        <v>3</v>
      </c>
      <c r="H14" s="91">
        <f t="shared" si="0"/>
        <v>3</v>
      </c>
      <c r="V14" s="18"/>
      <c r="W14" s="18"/>
      <c r="X14" s="18"/>
    </row>
    <row r="15" spans="2:24" x14ac:dyDescent="0.3">
      <c r="C15" s="84"/>
    </row>
    <row r="16" spans="2:24" ht="20.25" x14ac:dyDescent="0.35">
      <c r="C16" s="81" t="s">
        <v>518</v>
      </c>
      <c r="D16" s="46"/>
      <c r="E16" s="55"/>
      <c r="F16" s="55"/>
      <c r="G16" s="55"/>
      <c r="H16" s="55"/>
      <c r="J16" s="26"/>
    </row>
    <row r="17" spans="2:24" s="18" customFormat="1" ht="17.25" thickBot="1" x14ac:dyDescent="0.35">
      <c r="B17" s="233" t="s">
        <v>153</v>
      </c>
      <c r="C17" s="19" t="s">
        <v>154</v>
      </c>
      <c r="D17" s="19" t="s">
        <v>32</v>
      </c>
      <c r="E17" s="19" t="s">
        <v>155</v>
      </c>
      <c r="F17" s="19"/>
      <c r="G17" s="19" t="s">
        <v>155</v>
      </c>
      <c r="H17" s="19"/>
      <c r="I17" s="19"/>
      <c r="J17" s="56" t="s">
        <v>156</v>
      </c>
      <c r="K17" s="56"/>
    </row>
    <row r="18" spans="2:24" s="30" customFormat="1" ht="18" thickTop="1" thickBot="1" x14ac:dyDescent="0.35">
      <c r="B18" s="234"/>
      <c r="C18" s="29" t="s">
        <v>157</v>
      </c>
      <c r="D18" s="29"/>
      <c r="E18" s="335" t="s">
        <v>5</v>
      </c>
      <c r="F18" s="335"/>
      <c r="G18" s="335" t="s">
        <v>6</v>
      </c>
      <c r="H18" s="335"/>
      <c r="I18" s="28"/>
      <c r="J18" s="28"/>
      <c r="K18" s="57"/>
      <c r="M18" s="20"/>
    </row>
    <row r="19" spans="2:24" ht="18" thickTop="1" thickBot="1" x14ac:dyDescent="0.35">
      <c r="B19" s="233"/>
      <c r="C19" s="29" t="s">
        <v>158</v>
      </c>
      <c r="D19" s="29"/>
      <c r="E19" s="29" t="s">
        <v>7</v>
      </c>
      <c r="F19" s="29" t="s">
        <v>8</v>
      </c>
      <c r="G19" s="29" t="s">
        <v>7</v>
      </c>
      <c r="H19" s="29" t="s">
        <v>8</v>
      </c>
      <c r="I19" s="19"/>
      <c r="J19" s="19"/>
      <c r="K19" s="56"/>
      <c r="M19" s="82"/>
      <c r="N19" s="82"/>
    </row>
    <row r="20" spans="2:24" ht="17.25" thickTop="1" x14ac:dyDescent="0.3">
      <c r="C20" s="51" t="s">
        <v>724</v>
      </c>
      <c r="D20" s="84"/>
      <c r="E20" s="91"/>
      <c r="F20" s="91"/>
      <c r="G20" s="91"/>
      <c r="H20" s="91"/>
    </row>
    <row r="21" spans="2:24" x14ac:dyDescent="0.3">
      <c r="C21" s="20" t="s">
        <v>14</v>
      </c>
      <c r="D21" s="15" t="s">
        <v>191</v>
      </c>
      <c r="E21" s="42">
        <f>E$12/'Model homes'!E$86*'Model homes'!E95</f>
        <v>149.00212123711336</v>
      </c>
      <c r="F21" s="42">
        <f>F$12/'Model homes'!F$86*'Model homes'!F95</f>
        <v>147.48169142857139</v>
      </c>
      <c r="G21" s="42">
        <f>G$12/'Model homes'!G$86*'Model homes'!G95</f>
        <v>166.892178556701</v>
      </c>
      <c r="H21" s="42">
        <f>H$12/'Model homes'!H$86*'Model homes'!H95</f>
        <v>165.18919714285713</v>
      </c>
      <c r="J21" s="26"/>
    </row>
    <row r="22" spans="2:24" x14ac:dyDescent="0.3">
      <c r="C22" s="14" t="s">
        <v>15</v>
      </c>
      <c r="D22" s="15" t="s">
        <v>191</v>
      </c>
      <c r="E22" s="42">
        <f>E$12/'Model homes'!E$86*'Model homes'!E96</f>
        <v>222.35701169230762</v>
      </c>
      <c r="F22" s="42">
        <f>F$12/'Model homes'!F$86*'Model homes'!F96</f>
        <v>206.47436799999997</v>
      </c>
      <c r="G22" s="42">
        <f>G$12/'Model homes'!G$86*'Model homes'!G96</f>
        <v>241.62001970149248</v>
      </c>
      <c r="H22" s="42">
        <f>H$12/'Model homes'!H$86*'Model homes'!H96</f>
        <v>231.26487599999999</v>
      </c>
      <c r="J22" s="26"/>
    </row>
    <row r="23" spans="2:24" x14ac:dyDescent="0.3">
      <c r="C23" s="15" t="s">
        <v>16</v>
      </c>
      <c r="D23" s="15" t="s">
        <v>191</v>
      </c>
      <c r="E23" s="42">
        <f>E$12/'Model homes'!E$86*'Model homes'!E97</f>
        <v>180.66507199999995</v>
      </c>
      <c r="F23" s="42">
        <f>F$12/'Model homes'!F$86*'Model homes'!F97</f>
        <v>172.0619733333333</v>
      </c>
      <c r="G23" s="42">
        <f>G$12/'Model homes'!G$86*'Model homes'!G97</f>
        <v>197.42123560975608</v>
      </c>
      <c r="H23" s="42">
        <f>H$12/'Model homes'!H$86*'Model homes'!H97</f>
        <v>192.72072999999997</v>
      </c>
      <c r="J23" s="26"/>
    </row>
    <row r="24" spans="2:24" x14ac:dyDescent="0.3">
      <c r="C24" s="15" t="s">
        <v>17</v>
      </c>
      <c r="D24" s="15" t="s">
        <v>191</v>
      </c>
      <c r="E24" s="42">
        <f>E$12/'Model homes'!E$86*'Model homes'!E98</f>
        <v>222.35701169230762</v>
      </c>
      <c r="F24" s="42">
        <f>F$12/'Model homes'!F$86*'Model homes'!F98</f>
        <v>206.47436799999997</v>
      </c>
      <c r="G24" s="42">
        <f>G$12/'Model homes'!G$86*'Model homes'!G98</f>
        <v>249.05448184615378</v>
      </c>
      <c r="H24" s="42">
        <f>H$12/'Model homes'!H$86*'Model homes'!H98</f>
        <v>231.26487599999999</v>
      </c>
      <c r="J24" s="26"/>
    </row>
    <row r="25" spans="2:24" x14ac:dyDescent="0.3">
      <c r="C25" s="15" t="s">
        <v>18</v>
      </c>
      <c r="D25" s="15" t="s">
        <v>191</v>
      </c>
      <c r="E25" s="42">
        <f>E$12/'Model homes'!E$86*'Model homes'!E99</f>
        <v>180.66507199999995</v>
      </c>
      <c r="F25" s="42">
        <f>F$12/'Model homes'!F$86*'Model homes'!F99</f>
        <v>170.03771482352937</v>
      </c>
      <c r="G25" s="42">
        <f>G$12/'Model homes'!G$86*'Model homes'!G99</f>
        <v>202.35676649999996</v>
      </c>
      <c r="H25" s="42">
        <f>H$12/'Model homes'!H$86*'Model homes'!H99</f>
        <v>190.45342729411763</v>
      </c>
      <c r="J25" s="26"/>
    </row>
    <row r="26" spans="2:24" x14ac:dyDescent="0.3">
      <c r="C26" s="15" t="s">
        <v>19</v>
      </c>
      <c r="D26" s="15" t="s">
        <v>191</v>
      </c>
      <c r="E26" s="42">
        <f>E$12/'Model homes'!E$86*'Model homes'!E100</f>
        <v>180.66507199999995</v>
      </c>
      <c r="F26" s="42">
        <f>F$12/'Model homes'!F$86*'Model homes'!F100</f>
        <v>168.06053209302323</v>
      </c>
      <c r="G26" s="42">
        <f>G$12/'Model homes'!G$86*'Model homes'!G100</f>
        <v>202.35676649999996</v>
      </c>
      <c r="H26" s="42">
        <f>H$12/'Model homes'!H$86*'Model homes'!H100</f>
        <v>188.23885255813951</v>
      </c>
      <c r="J26" s="26"/>
    </row>
    <row r="27" spans="2:24" x14ac:dyDescent="0.3">
      <c r="C27" s="14" t="s">
        <v>20</v>
      </c>
      <c r="D27" s="15" t="s">
        <v>191</v>
      </c>
      <c r="E27" s="42">
        <f>E$12/'Model homes'!E$86*'Model homes'!E101</f>
        <v>170.03771482352937</v>
      </c>
      <c r="F27" s="42">
        <f>F$12/'Model homes'!F$86*'Model homes'!F101</f>
        <v>166.12880183908044</v>
      </c>
      <c r="G27" s="42">
        <f>G$12/'Model homes'!G$86*'Model homes'!G101</f>
        <v>186.07518758620685</v>
      </c>
      <c r="H27" s="42">
        <f>H$12/'Model homes'!H$86*'Model homes'!H101</f>
        <v>186.07518758620685</v>
      </c>
      <c r="J27" s="26"/>
    </row>
    <row r="28" spans="2:24" x14ac:dyDescent="0.3">
      <c r="C28" s="14" t="s">
        <v>21</v>
      </c>
      <c r="D28" s="15" t="s">
        <v>191</v>
      </c>
      <c r="E28" s="42">
        <f>E$12/'Model homes'!E$86*'Model homes'!E102</f>
        <v>95.086879999999979</v>
      </c>
      <c r="F28" s="42">
        <f>F$12/'Model homes'!F$86*'Model homes'!F102</f>
        <v>95.086879999999979</v>
      </c>
      <c r="G28" s="42">
        <f>G$12/'Model homes'!G$86*'Model homes'!G102</f>
        <v>71.315159999999992</v>
      </c>
      <c r="H28" s="42">
        <f>H$12/'Model homes'!H$86*'Model homes'!H102</f>
        <v>71.315159999999992</v>
      </c>
      <c r="J28" s="17" t="s">
        <v>478</v>
      </c>
    </row>
    <row r="29" spans="2:24" x14ac:dyDescent="0.3">
      <c r="C29" s="14" t="s">
        <v>22</v>
      </c>
      <c r="D29" s="15" t="s">
        <v>191</v>
      </c>
      <c r="E29" s="42">
        <f>E$12/'Model homes'!E$86*'Model homes'!E103</f>
        <v>49.875706326342396</v>
      </c>
      <c r="F29" s="42">
        <f>F$12/'Model homes'!F$86*'Model homes'!F103</f>
        <v>44.314596841943882</v>
      </c>
      <c r="G29" s="42">
        <f>G$12/'Model homes'!G$86*'Model homes'!G103</f>
        <v>49.635263896979907</v>
      </c>
      <c r="H29" s="42">
        <f>H$12/'Model homes'!H$86*'Model homes'!H103</f>
        <v>46.117991974321001</v>
      </c>
      <c r="J29" s="202">
        <f>AVERAGE(E21:H29)</f>
        <v>163.78333185788927</v>
      </c>
    </row>
    <row r="30" spans="2:24" x14ac:dyDescent="0.3">
      <c r="C30" s="96"/>
      <c r="D30" s="84"/>
      <c r="E30" s="91"/>
      <c r="F30" s="91"/>
      <c r="G30" s="91"/>
      <c r="H30" s="91"/>
      <c r="V30" s="42"/>
      <c r="W30" s="99"/>
      <c r="X30" s="99"/>
    </row>
    <row r="31" spans="2:24" x14ac:dyDescent="0.3">
      <c r="C31" s="51" t="s">
        <v>515</v>
      </c>
      <c r="D31" s="84"/>
      <c r="E31" s="91"/>
      <c r="F31" s="91"/>
      <c r="G31" s="91"/>
      <c r="H31" s="91"/>
    </row>
    <row r="32" spans="2:24" x14ac:dyDescent="0.3">
      <c r="C32" s="20" t="s">
        <v>14</v>
      </c>
      <c r="D32" s="15" t="s">
        <v>299</v>
      </c>
      <c r="E32" s="42" t="e">
        <f>E21*'Model homes'!E127*10^-3</f>
        <v>#VALUE!</v>
      </c>
      <c r="F32" s="42" t="e">
        <f>F21*'Model homes'!F127*10^-3</f>
        <v>#VALUE!</v>
      </c>
      <c r="G32" s="42" t="e">
        <f>G21*'Model homes'!G127*10^-3</f>
        <v>#VALUE!</v>
      </c>
      <c r="H32" s="42" t="e">
        <f>H21*'Model homes'!H127*10^-3</f>
        <v>#VALUE!</v>
      </c>
      <c r="J32" s="26" t="s">
        <v>516</v>
      </c>
    </row>
    <row r="33" spans="3:11" x14ac:dyDescent="0.3">
      <c r="C33" s="14" t="s">
        <v>15</v>
      </c>
      <c r="D33" s="15" t="s">
        <v>299</v>
      </c>
      <c r="E33" s="42" t="e">
        <f>E22*'Model homes'!E131/100</f>
        <v>#VALUE!</v>
      </c>
      <c r="F33" s="42" t="e">
        <f>F22*'Model homes'!F131/100</f>
        <v>#VALUE!</v>
      </c>
      <c r="G33" s="42" t="e">
        <f>G22*'Model homes'!G131/100</f>
        <v>#VALUE!</v>
      </c>
      <c r="H33" s="42" t="e">
        <f>H22*'Model homes'!H131/100</f>
        <v>#VALUE!</v>
      </c>
      <c r="J33" s="26"/>
    </row>
    <row r="34" spans="3:11" x14ac:dyDescent="0.3">
      <c r="C34" s="15" t="s">
        <v>16</v>
      </c>
      <c r="D34" s="15" t="s">
        <v>299</v>
      </c>
      <c r="E34" s="42" t="e">
        <f>E23*'Model homes'!E133/100</f>
        <v>#VALUE!</v>
      </c>
      <c r="F34" s="42" t="e">
        <f>F23*'Model homes'!F133/100</f>
        <v>#VALUE!</v>
      </c>
      <c r="G34" s="42" t="e">
        <f>G23*'Model homes'!G133/100</f>
        <v>#VALUE!</v>
      </c>
      <c r="H34" s="42" t="e">
        <f>H23*'Model homes'!H133/100</f>
        <v>#VALUE!</v>
      </c>
      <c r="J34" s="26"/>
    </row>
    <row r="35" spans="3:11" x14ac:dyDescent="0.3">
      <c r="C35" s="15" t="s">
        <v>17</v>
      </c>
      <c r="D35" s="15" t="s">
        <v>299</v>
      </c>
      <c r="E35" s="42" t="e">
        <f>E24*'Model homes'!E135/100</f>
        <v>#VALUE!</v>
      </c>
      <c r="F35" s="42" t="e">
        <f>F24*'Model homes'!F135/100</f>
        <v>#VALUE!</v>
      </c>
      <c r="G35" s="42" t="e">
        <f>G24*'Model homes'!G135/100</f>
        <v>#VALUE!</v>
      </c>
      <c r="H35" s="42" t="e">
        <f>H24*'Model homes'!H135/100</f>
        <v>#VALUE!</v>
      </c>
      <c r="J35" s="26"/>
    </row>
    <row r="36" spans="3:11" x14ac:dyDescent="0.3">
      <c r="C36" s="15" t="s">
        <v>18</v>
      </c>
      <c r="D36" s="15" t="s">
        <v>299</v>
      </c>
      <c r="E36" s="42" t="e">
        <f>E25*'Model homes'!E137/100</f>
        <v>#VALUE!</v>
      </c>
      <c r="F36" s="42" t="e">
        <f>F25*'Model homes'!F137/100</f>
        <v>#VALUE!</v>
      </c>
      <c r="G36" s="42" t="e">
        <f>G25*'Model homes'!G137/100</f>
        <v>#VALUE!</v>
      </c>
      <c r="H36" s="42" t="e">
        <f>H25*'Model homes'!H137/100</f>
        <v>#VALUE!</v>
      </c>
      <c r="J36" s="26"/>
    </row>
    <row r="37" spans="3:11" x14ac:dyDescent="0.3">
      <c r="C37" s="15" t="s">
        <v>19</v>
      </c>
      <c r="D37" s="15" t="s">
        <v>299</v>
      </c>
      <c r="E37" s="42" t="e">
        <f>E26*'Model homes'!E139/100</f>
        <v>#VALUE!</v>
      </c>
      <c r="F37" s="42" t="e">
        <f>F26*'Model homes'!F139/100</f>
        <v>#VALUE!</v>
      </c>
      <c r="G37" s="42" t="e">
        <f>G26*'Model homes'!G139/100</f>
        <v>#VALUE!</v>
      </c>
      <c r="H37" s="42" t="e">
        <f>H26*'Model homes'!H139/100</f>
        <v>#VALUE!</v>
      </c>
      <c r="J37" s="26"/>
    </row>
    <row r="38" spans="3:11" x14ac:dyDescent="0.3">
      <c r="C38" s="14" t="s">
        <v>20</v>
      </c>
      <c r="D38" s="15" t="s">
        <v>299</v>
      </c>
      <c r="E38" s="42" t="e">
        <f>E27*'Model homes'!E140/100</f>
        <v>#VALUE!</v>
      </c>
      <c r="F38" s="42" t="e">
        <f>F27*'Model homes'!F140/100</f>
        <v>#VALUE!</v>
      </c>
      <c r="G38" s="42" t="e">
        <f>G27*'Model homes'!G140/100</f>
        <v>#VALUE!</v>
      </c>
      <c r="H38" s="42" t="e">
        <f>H27*'Model homes'!H140/100</f>
        <v>#VALUE!</v>
      </c>
      <c r="J38" s="26"/>
    </row>
    <row r="39" spans="3:11" x14ac:dyDescent="0.3">
      <c r="C39" s="14" t="s">
        <v>21</v>
      </c>
      <c r="D39" s="15" t="s">
        <v>299</v>
      </c>
      <c r="E39" s="42" t="e">
        <f>E28*'Model homes'!E141/100</f>
        <v>#VALUE!</v>
      </c>
      <c r="F39" s="42" t="e">
        <f>F28*'Model homes'!F141/100</f>
        <v>#VALUE!</v>
      </c>
      <c r="G39" s="42" t="e">
        <f>G28*'Model homes'!G141/100</f>
        <v>#VALUE!</v>
      </c>
      <c r="H39" s="42" t="e">
        <f>H28*'Model homes'!H141/100</f>
        <v>#VALUE!</v>
      </c>
      <c r="J39" s="26"/>
      <c r="K39" s="17" t="s">
        <v>478</v>
      </c>
    </row>
    <row r="40" spans="3:11" x14ac:dyDescent="0.3">
      <c r="C40" s="14" t="s">
        <v>22</v>
      </c>
      <c r="D40" s="15" t="s">
        <v>299</v>
      </c>
      <c r="E40" s="42" t="e">
        <f>E29*'Model homes'!E142/100</f>
        <v>#VALUE!</v>
      </c>
      <c r="F40" s="42" t="e">
        <f>F29*'Model homes'!F142/100</f>
        <v>#VALUE!</v>
      </c>
      <c r="G40" s="42" t="e">
        <f>G29*'Model homes'!G142/100</f>
        <v>#VALUE!</v>
      </c>
      <c r="H40" s="42" t="e">
        <f>H29*'Model homes'!H142/100</f>
        <v>#VALUE!</v>
      </c>
      <c r="J40" s="45" t="e">
        <f>ROUND(MIN(E32:H40),0)&amp;" - "&amp;ROUND(MAX(E32:H40),0)</f>
        <v>#VALUE!</v>
      </c>
      <c r="K40" s="142" t="e">
        <f>AVERAGE(E32:H40)</f>
        <v>#VALUE!</v>
      </c>
    </row>
    <row r="41" spans="3:11" x14ac:dyDescent="0.3">
      <c r="C41" s="20"/>
      <c r="D41" s="15"/>
      <c r="E41" s="42"/>
      <c r="F41" s="55"/>
      <c r="G41" s="42"/>
      <c r="H41" s="42"/>
      <c r="J41" s="26"/>
    </row>
    <row r="42" spans="3:11" x14ac:dyDescent="0.3">
      <c r="C42" s="51" t="s">
        <v>517</v>
      </c>
      <c r="D42" s="84"/>
      <c r="E42" s="91"/>
      <c r="F42" s="91"/>
      <c r="G42" s="91"/>
      <c r="H42" s="91"/>
      <c r="J42" s="51" t="s">
        <v>509</v>
      </c>
    </row>
    <row r="43" spans="3:11" x14ac:dyDescent="0.3">
      <c r="C43" s="20" t="s">
        <v>14</v>
      </c>
      <c r="D43" s="15" t="s">
        <v>299</v>
      </c>
      <c r="E43" s="55" t="e">
        <f>-PMT(E$13,E$14,E32*$J43)</f>
        <v>#VALUE!</v>
      </c>
      <c r="F43" s="55" t="e">
        <f t="shared" ref="F43:H43" si="1">-PMT(F$13,F$14,F32*$J43)</f>
        <v>#VALUE!</v>
      </c>
      <c r="G43" s="55" t="e">
        <f t="shared" si="1"/>
        <v>#VALUE!</v>
      </c>
      <c r="H43" s="55" t="e">
        <f t="shared" si="1"/>
        <v>#VALUE!</v>
      </c>
      <c r="J43" s="63">
        <f>(1-(((1+'Model homes'!$E159)/(1+E$13))^E$14))/(E$13-'Model homes'!$E159)</f>
        <v>2.8432103792103223</v>
      </c>
    </row>
    <row r="44" spans="3:11" x14ac:dyDescent="0.3">
      <c r="C44" s="14" t="s">
        <v>15</v>
      </c>
      <c r="D44" s="15" t="s">
        <v>299</v>
      </c>
      <c r="E44" s="55" t="e">
        <f t="shared" ref="E44:H51" si="2">-PMT(E$13,E$14,E33*$J44)</f>
        <v>#VALUE!</v>
      </c>
      <c r="F44" s="55" t="e">
        <f t="shared" si="2"/>
        <v>#VALUE!</v>
      </c>
      <c r="G44" s="55" t="e">
        <f t="shared" si="2"/>
        <v>#VALUE!</v>
      </c>
      <c r="H44" s="55" t="e">
        <f t="shared" si="2"/>
        <v>#VALUE!</v>
      </c>
      <c r="J44" s="63">
        <f>(1-(((1+'Model homes'!$E160)/(1+E$13))^E$14))/(E$13-'Model homes'!$E160)</f>
        <v>2.8294976103777958</v>
      </c>
    </row>
    <row r="45" spans="3:11" x14ac:dyDescent="0.3">
      <c r="C45" s="15" t="s">
        <v>16</v>
      </c>
      <c r="D45" s="15" t="s">
        <v>299</v>
      </c>
      <c r="E45" s="55" t="e">
        <f t="shared" si="2"/>
        <v>#VALUE!</v>
      </c>
      <c r="F45" s="55" t="e">
        <f t="shared" si="2"/>
        <v>#VALUE!</v>
      </c>
      <c r="G45" s="55" t="e">
        <f t="shared" si="2"/>
        <v>#VALUE!</v>
      </c>
      <c r="H45" s="55" t="e">
        <f t="shared" si="2"/>
        <v>#VALUE!</v>
      </c>
      <c r="J45" s="63">
        <f>(1-(((1+'Model homes'!$E161)/(1+E$13))^E$14))/(E$13-'Model homes'!$E161)</f>
        <v>2.8432103792103223</v>
      </c>
    </row>
    <row r="46" spans="3:11" x14ac:dyDescent="0.3">
      <c r="C46" s="15" t="s">
        <v>17</v>
      </c>
      <c r="D46" s="15" t="s">
        <v>299</v>
      </c>
      <c r="E46" s="55" t="e">
        <f t="shared" si="2"/>
        <v>#VALUE!</v>
      </c>
      <c r="F46" s="55" t="e">
        <f t="shared" si="2"/>
        <v>#VALUE!</v>
      </c>
      <c r="G46" s="55" t="e">
        <f t="shared" si="2"/>
        <v>#VALUE!</v>
      </c>
      <c r="H46" s="55" t="e">
        <f t="shared" si="2"/>
        <v>#VALUE!</v>
      </c>
      <c r="J46" s="63">
        <f>(1-(((1+'Model homes'!$E162)/(1+E$13))^E$14))/(E$13-'Model homes'!$E162)</f>
        <v>2.8432103792103223</v>
      </c>
    </row>
    <row r="47" spans="3:11" x14ac:dyDescent="0.3">
      <c r="C47" s="15" t="s">
        <v>18</v>
      </c>
      <c r="D47" s="15" t="s">
        <v>299</v>
      </c>
      <c r="E47" s="55" t="e">
        <f t="shared" si="2"/>
        <v>#VALUE!</v>
      </c>
      <c r="F47" s="55" t="e">
        <f t="shared" si="2"/>
        <v>#VALUE!</v>
      </c>
      <c r="G47" s="55" t="e">
        <f t="shared" si="2"/>
        <v>#VALUE!</v>
      </c>
      <c r="H47" s="55" t="e">
        <f t="shared" si="2"/>
        <v>#VALUE!</v>
      </c>
      <c r="J47" s="63">
        <f>(1-(((1+'Model homes'!$E163)/(1+E$13))^E$14))/(E$13-'Model homes'!$E163)</f>
        <v>2.8432103792103223</v>
      </c>
    </row>
    <row r="48" spans="3:11" x14ac:dyDescent="0.3">
      <c r="C48" s="15" t="s">
        <v>19</v>
      </c>
      <c r="D48" s="15" t="s">
        <v>299</v>
      </c>
      <c r="E48" s="55" t="e">
        <f t="shared" si="2"/>
        <v>#VALUE!</v>
      </c>
      <c r="F48" s="55" t="e">
        <f t="shared" si="2"/>
        <v>#VALUE!</v>
      </c>
      <c r="G48" s="55" t="e">
        <f t="shared" si="2"/>
        <v>#VALUE!</v>
      </c>
      <c r="H48" s="55" t="e">
        <f t="shared" si="2"/>
        <v>#VALUE!</v>
      </c>
      <c r="J48" s="63">
        <f>(1-(((1+'Model homes'!$E164)/(1+E$13))^E$14))/(E$13-'Model homes'!$E164)</f>
        <v>2.8432103792103223</v>
      </c>
    </row>
    <row r="49" spans="3:40" ht="15.95" customHeight="1" x14ac:dyDescent="0.3">
      <c r="C49" s="14" t="s">
        <v>20</v>
      </c>
      <c r="D49" s="15" t="s">
        <v>299</v>
      </c>
      <c r="E49" s="55" t="e">
        <f t="shared" si="2"/>
        <v>#VALUE!</v>
      </c>
      <c r="F49" s="55" t="e">
        <f t="shared" si="2"/>
        <v>#VALUE!</v>
      </c>
      <c r="G49" s="55" t="e">
        <f t="shared" si="2"/>
        <v>#VALUE!</v>
      </c>
      <c r="H49" s="55" t="e">
        <f t="shared" si="2"/>
        <v>#VALUE!</v>
      </c>
      <c r="J49" s="63">
        <f>(1-(((1+'Model homes'!$E165)/(1+E$13))^E$14))/(E$13-'Model homes'!$E165)</f>
        <v>2.8542125981452227</v>
      </c>
    </row>
    <row r="50" spans="3:40" ht="15.95" customHeight="1" x14ac:dyDescent="0.3">
      <c r="C50" s="14" t="s">
        <v>21</v>
      </c>
      <c r="D50" s="15" t="s">
        <v>299</v>
      </c>
      <c r="E50" s="55" t="e">
        <f t="shared" si="2"/>
        <v>#VALUE!</v>
      </c>
      <c r="F50" s="55" t="e">
        <f t="shared" si="2"/>
        <v>#VALUE!</v>
      </c>
      <c r="G50" s="55" t="e">
        <f t="shared" si="2"/>
        <v>#VALUE!</v>
      </c>
      <c r="H50" s="55" t="e">
        <f t="shared" si="2"/>
        <v>#VALUE!</v>
      </c>
      <c r="J50" s="63">
        <f>(1-(((1+'Model homes'!$E166)/(1+E$13))^E$14))/(E$13-'Model homes'!$E166)</f>
        <v>2.8432103792103223</v>
      </c>
    </row>
    <row r="51" spans="3:40" x14ac:dyDescent="0.3">
      <c r="C51" s="14" t="s">
        <v>22</v>
      </c>
      <c r="D51" s="15" t="s">
        <v>299</v>
      </c>
      <c r="E51" s="55" t="e">
        <f t="shared" si="2"/>
        <v>#VALUE!</v>
      </c>
      <c r="F51" s="55" t="e">
        <f t="shared" si="2"/>
        <v>#VALUE!</v>
      </c>
      <c r="G51" s="55" t="e">
        <f t="shared" si="2"/>
        <v>#VALUE!</v>
      </c>
      <c r="H51" s="55" t="e">
        <f t="shared" si="2"/>
        <v>#VALUE!</v>
      </c>
      <c r="J51" s="63">
        <f>(1-(((1+'Model homes'!$E167)/(1+E$13))^E$14))/(E$13-'Model homes'!$E167)</f>
        <v>2.8432103792103223</v>
      </c>
    </row>
    <row r="52" spans="3:40" x14ac:dyDescent="0.3">
      <c r="C52" s="20"/>
      <c r="D52" s="15"/>
      <c r="E52" s="42"/>
      <c r="F52" s="55"/>
      <c r="G52" s="42"/>
      <c r="H52" s="42"/>
      <c r="J52" s="26"/>
    </row>
    <row r="53" spans="3:40" x14ac:dyDescent="0.3">
      <c r="C53" s="51" t="s">
        <v>522</v>
      </c>
      <c r="D53" s="84"/>
      <c r="E53" s="90"/>
      <c r="F53" s="90"/>
      <c r="G53" s="90"/>
      <c r="H53" s="90"/>
      <c r="J53" s="51" t="s">
        <v>523</v>
      </c>
      <c r="R53" s="51" t="s">
        <v>524</v>
      </c>
      <c r="Z53" s="51" t="s">
        <v>525</v>
      </c>
      <c r="AH53" s="51" t="s">
        <v>526</v>
      </c>
    </row>
    <row r="54" spans="3:40" ht="15.95" customHeight="1" x14ac:dyDescent="0.3">
      <c r="C54" s="20" t="s">
        <v>14</v>
      </c>
      <c r="D54" s="84" t="s">
        <v>527</v>
      </c>
      <c r="E54" s="130" t="e">
        <f>E21*'Model homes'!$J110*10^-6</f>
        <v>#VALUE!</v>
      </c>
      <c r="F54" s="130" t="e">
        <f>F21*'Model homes'!$J110*10^-6</f>
        <v>#VALUE!</v>
      </c>
      <c r="G54" s="130" t="e">
        <f>G21*'Model homes'!$J110*10^-6</f>
        <v>#VALUE!</v>
      </c>
      <c r="H54" s="130" t="e">
        <f>H21*'Model homes'!$J110*10^-6</f>
        <v>#VALUE!</v>
      </c>
      <c r="J54" s="209" t="s">
        <v>14</v>
      </c>
      <c r="L54" s="207" t="s">
        <v>528</v>
      </c>
      <c r="M54" s="130" t="e">
        <f>'Model homes'!$E274*E21*10^-6</f>
        <v>#DIV/0!</v>
      </c>
      <c r="N54" s="130" t="e">
        <f>'Model homes'!$E274*F21*10^-6</f>
        <v>#DIV/0!</v>
      </c>
      <c r="O54" s="130" t="e">
        <f>'Model homes'!$E274*G21*10^-6</f>
        <v>#DIV/0!</v>
      </c>
      <c r="P54" s="130" t="e">
        <f>'Model homes'!$E274*H21*10^-6</f>
        <v>#DIV/0!</v>
      </c>
      <c r="R54" s="209" t="s">
        <v>14</v>
      </c>
      <c r="T54" s="207" t="s">
        <v>529</v>
      </c>
      <c r="U54" s="130" t="e">
        <f>'Model homes'!$F274*E21*10^-6</f>
        <v>#DIV/0!</v>
      </c>
      <c r="V54" s="130" t="e">
        <f>'Model homes'!$F274*F21*10^-6</f>
        <v>#DIV/0!</v>
      </c>
      <c r="W54" s="130" t="e">
        <f>'Model homes'!$F274*G21*10^-6</f>
        <v>#DIV/0!</v>
      </c>
      <c r="X54" s="130" t="e">
        <f>'Model homes'!$F274*H21*10^-6</f>
        <v>#DIV/0!</v>
      </c>
      <c r="Z54" s="209" t="s">
        <v>14</v>
      </c>
      <c r="AB54" s="207" t="s">
        <v>530</v>
      </c>
      <c r="AC54" s="130" t="e">
        <f>'Model homes'!$G274*E21*10^-6</f>
        <v>#DIV/0!</v>
      </c>
      <c r="AD54" s="130" t="e">
        <f>'Model homes'!$G274*F21*10^-6</f>
        <v>#DIV/0!</v>
      </c>
      <c r="AE54" s="130" t="e">
        <f>'Model homes'!$G274*G21*10^-6</f>
        <v>#DIV/0!</v>
      </c>
      <c r="AF54" s="130" t="e">
        <f>'Model homes'!$G274*H21*10^-6</f>
        <v>#DIV/0!</v>
      </c>
      <c r="AH54" s="209" t="s">
        <v>14</v>
      </c>
      <c r="AJ54" s="207" t="s">
        <v>531</v>
      </c>
      <c r="AK54" s="130" t="e">
        <f>'Model homes'!$H274*E21*10^-6</f>
        <v>#DIV/0!</v>
      </c>
      <c r="AL54" s="130" t="e">
        <f>'Model homes'!$H274*F21*10^-6</f>
        <v>#DIV/0!</v>
      </c>
      <c r="AM54" s="130" t="e">
        <f>'Model homes'!$H274*G21*10^-6</f>
        <v>#DIV/0!</v>
      </c>
      <c r="AN54" s="130" t="e">
        <f>'Model homes'!$H274*H21*10^-6</f>
        <v>#DIV/0!</v>
      </c>
    </row>
    <row r="55" spans="3:40" ht="15.95" customHeight="1" x14ac:dyDescent="0.3">
      <c r="C55" s="14" t="s">
        <v>15</v>
      </c>
      <c r="D55" s="84" t="s">
        <v>527</v>
      </c>
      <c r="E55" s="130">
        <f>E22*'Model homes'!$J111*10^-6</f>
        <v>0</v>
      </c>
      <c r="F55" s="130">
        <f>F22*'Model homes'!$J111*10^-6</f>
        <v>0</v>
      </c>
      <c r="G55" s="130">
        <f>G22*'Model homes'!$J111*10^-6</f>
        <v>0</v>
      </c>
      <c r="H55" s="130">
        <f>H22*'Model homes'!$J111*10^-6</f>
        <v>0</v>
      </c>
      <c r="J55" s="213" t="s">
        <v>15</v>
      </c>
      <c r="L55" s="207" t="s">
        <v>528</v>
      </c>
      <c r="M55" s="130">
        <f>'Model homes'!$E275*E22*10^-6</f>
        <v>4.4471402338461519E-6</v>
      </c>
      <c r="N55" s="130">
        <f>'Model homes'!$E275*F22*10^-6</f>
        <v>4.1294873599999999E-6</v>
      </c>
      <c r="O55" s="130">
        <f>'Model homes'!$E275*G22*10^-6</f>
        <v>4.8324003940298495E-6</v>
      </c>
      <c r="P55" s="130">
        <f>'Model homes'!$E275*H22*10^-6</f>
        <v>4.6252975199999999E-6</v>
      </c>
      <c r="R55" s="213" t="s">
        <v>15</v>
      </c>
      <c r="T55" s="207" t="s">
        <v>529</v>
      </c>
      <c r="U55" s="130">
        <f>'Model homes'!$F275*E22*10^-6</f>
        <v>6.8930673624615363E-5</v>
      </c>
      <c r="V55" s="130">
        <f>'Model homes'!$F275*F22*10^-6</f>
        <v>6.4007054079999985E-5</v>
      </c>
      <c r="W55" s="130">
        <f>'Model homes'!$F275*G22*10^-6</f>
        <v>7.4902206107462676E-5</v>
      </c>
      <c r="X55" s="130">
        <f>'Model homes'!$F275*H22*10^-6</f>
        <v>7.1692111559999998E-5</v>
      </c>
      <c r="Z55" s="213" t="s">
        <v>15</v>
      </c>
      <c r="AB55" s="207" t="s">
        <v>530</v>
      </c>
      <c r="AC55" s="130">
        <f>'Model homes'!$G275*E22*10^-6</f>
        <v>1.5564990818461533E-5</v>
      </c>
      <c r="AD55" s="130">
        <f>'Model homes'!$G275*F22*10^-6</f>
        <v>1.4453205759999998E-5</v>
      </c>
      <c r="AE55" s="130">
        <f>'Model homes'!$G275*G22*10^-6</f>
        <v>1.6913401379104472E-5</v>
      </c>
      <c r="AF55" s="130">
        <f>'Model homes'!$G275*H22*10^-6</f>
        <v>1.6188541320000003E-5</v>
      </c>
      <c r="AH55" s="213" t="s">
        <v>15</v>
      </c>
      <c r="AJ55" s="207" t="s">
        <v>531</v>
      </c>
      <c r="AK55" s="130">
        <f>'Model homes'!$H275*E22*10^-6</f>
        <v>2.223570116923076E-6</v>
      </c>
      <c r="AL55" s="130">
        <f>'Model homes'!$H275*F22*10^-6</f>
        <v>2.06474368E-6</v>
      </c>
      <c r="AM55" s="130">
        <f>'Model homes'!$H275*G22*10^-6</f>
        <v>2.4162001970149247E-6</v>
      </c>
      <c r="AN55" s="130">
        <f>'Model homes'!$H275*H22*10^-6</f>
        <v>2.3126487599999999E-6</v>
      </c>
    </row>
    <row r="56" spans="3:40" ht="15.95" customHeight="1" x14ac:dyDescent="0.3">
      <c r="C56" s="15" t="s">
        <v>16</v>
      </c>
      <c r="D56" s="84" t="s">
        <v>527</v>
      </c>
      <c r="E56" s="130">
        <f>E23*'Model homes'!$J112*10^-6</f>
        <v>0</v>
      </c>
      <c r="F56" s="130">
        <f>F23*'Model homes'!$J112*10^-6</f>
        <v>0</v>
      </c>
      <c r="G56" s="130">
        <f>G23*'Model homes'!$J112*10^-6</f>
        <v>0</v>
      </c>
      <c r="H56" s="130">
        <f>H23*'Model homes'!$J112*10^-6</f>
        <v>0</v>
      </c>
      <c r="J56" s="210" t="s">
        <v>16</v>
      </c>
      <c r="L56" s="207" t="s">
        <v>528</v>
      </c>
      <c r="M56" s="130">
        <f>'Model homes'!$E276*E23*10^-6</f>
        <v>3.6133014399999986E-6</v>
      </c>
      <c r="N56" s="130">
        <f>'Model homes'!$E276*F23*10^-6</f>
        <v>3.4412394666666662E-6</v>
      </c>
      <c r="O56" s="130">
        <f>'Model homes'!$E276*G23*10^-6</f>
        <v>3.9484247121951217E-6</v>
      </c>
      <c r="P56" s="130">
        <f>'Model homes'!$E276*H23*10^-6</f>
        <v>3.8544145999999995E-6</v>
      </c>
      <c r="R56" s="210" t="s">
        <v>16</v>
      </c>
      <c r="T56" s="207" t="s">
        <v>529</v>
      </c>
      <c r="U56" s="130">
        <f>'Model homes'!$F276*E23*10^-6</f>
        <v>5.6006172319999983E-5</v>
      </c>
      <c r="V56" s="130">
        <f>'Model homes'!$F276*F23*10^-6</f>
        <v>5.3339211733333319E-5</v>
      </c>
      <c r="W56" s="130">
        <f>'Model homes'!$F276*G23*10^-6</f>
        <v>6.1200583039024378E-5</v>
      </c>
      <c r="X56" s="130">
        <f>'Model homes'!$F276*H23*10^-6</f>
        <v>5.9743426299999987E-5</v>
      </c>
      <c r="Z56" s="210" t="s">
        <v>16</v>
      </c>
      <c r="AB56" s="207" t="s">
        <v>530</v>
      </c>
      <c r="AC56" s="130">
        <f>'Model homes'!$G276*E23*10^-6</f>
        <v>1.2646555039999996E-5</v>
      </c>
      <c r="AD56" s="130">
        <f>'Model homes'!$G276*F23*10^-6</f>
        <v>1.2044338133333331E-5</v>
      </c>
      <c r="AE56" s="130">
        <f>'Model homes'!$G276*G23*10^-6</f>
        <v>1.3819486492682926E-5</v>
      </c>
      <c r="AF56" s="130">
        <f>'Model homes'!$G276*H23*10^-6</f>
        <v>1.3490451099999998E-5</v>
      </c>
      <c r="AH56" s="210" t="s">
        <v>16</v>
      </c>
      <c r="AJ56" s="207" t="s">
        <v>531</v>
      </c>
      <c r="AK56" s="130">
        <f>'Model homes'!$H276*E23*10^-6</f>
        <v>1.8066507199999993E-6</v>
      </c>
      <c r="AL56" s="130">
        <f>'Model homes'!$H276*F23*10^-6</f>
        <v>1.7206197333333331E-6</v>
      </c>
      <c r="AM56" s="130">
        <f>'Model homes'!$H276*G23*10^-6</f>
        <v>1.9742123560975608E-6</v>
      </c>
      <c r="AN56" s="130">
        <f>'Model homes'!$H276*H23*10^-6</f>
        <v>1.9272072999999997E-6</v>
      </c>
    </row>
    <row r="57" spans="3:40" ht="15.95" customHeight="1" x14ac:dyDescent="0.3">
      <c r="C57" s="15" t="s">
        <v>17</v>
      </c>
      <c r="D57" s="84" t="s">
        <v>527</v>
      </c>
      <c r="E57" s="130">
        <f>E24*'Model homes'!$J113*10^-6</f>
        <v>8.3250465177599972E-2</v>
      </c>
      <c r="F57" s="130">
        <f>F24*'Model homes'!$J113*10^-6</f>
        <v>7.7304003379199987E-2</v>
      </c>
      <c r="G57" s="130">
        <f>G24*'Model homes'!$J113*10^-6</f>
        <v>9.3245998003199979E-2</v>
      </c>
      <c r="H57" s="130">
        <f>H24*'Model homes'!$J113*10^-6</f>
        <v>8.6585569574399987E-2</v>
      </c>
      <c r="J57" s="210" t="s">
        <v>17</v>
      </c>
      <c r="L57" s="207" t="s">
        <v>528</v>
      </c>
      <c r="M57" s="130">
        <f>'Model homes'!$E277*E24*10^-6</f>
        <v>4.2247832221538452E-5</v>
      </c>
      <c r="N57" s="130">
        <f>'Model homes'!$E277*F24*10^-6</f>
        <v>3.9230129919999992E-5</v>
      </c>
      <c r="O57" s="130">
        <f>'Model homes'!$E277*G24*10^-6</f>
        <v>4.7320351550769216E-5</v>
      </c>
      <c r="P57" s="130">
        <f>'Model homes'!$E277*H24*10^-6</f>
        <v>4.394032644E-5</v>
      </c>
      <c r="R57" s="210" t="s">
        <v>17</v>
      </c>
      <c r="T57" s="207" t="s">
        <v>529</v>
      </c>
      <c r="U57" s="130">
        <f>'Model homes'!$F277*E24*10^-6</f>
        <v>6.2259963273846134E-5</v>
      </c>
      <c r="V57" s="130">
        <f>'Model homes'!$F277*F24*10^-6</f>
        <v>5.7812823039999992E-5</v>
      </c>
      <c r="W57" s="130">
        <f>'Model homes'!$F277*G24*10^-6</f>
        <v>6.9735254916923069E-5</v>
      </c>
      <c r="X57" s="130">
        <f>'Model homes'!$F277*H24*10^-6</f>
        <v>6.475416528000001E-5</v>
      </c>
      <c r="Z57" s="210" t="s">
        <v>17</v>
      </c>
      <c r="AB57" s="207" t="s">
        <v>530</v>
      </c>
      <c r="AC57" s="130">
        <f>'Model homes'!$G277*E24*10^-6</f>
        <v>2.223570116923076E-6</v>
      </c>
      <c r="AD57" s="130">
        <f>'Model homes'!$G277*F24*10^-6</f>
        <v>2.06474368E-6</v>
      </c>
      <c r="AE57" s="130">
        <f>'Model homes'!$G277*G24*10^-6</f>
        <v>2.4905448184615379E-6</v>
      </c>
      <c r="AF57" s="130">
        <f>'Model homes'!$G277*H24*10^-6</f>
        <v>2.3126487599999999E-6</v>
      </c>
      <c r="AH57" s="210" t="s">
        <v>17</v>
      </c>
      <c r="AJ57" s="207" t="s">
        <v>531</v>
      </c>
      <c r="AK57" s="130">
        <f>'Model homes'!$H277*E24*10^-6</f>
        <v>2.223570116923076E-6</v>
      </c>
      <c r="AL57" s="130">
        <f>'Model homes'!$H277*F24*10^-6</f>
        <v>2.06474368E-6</v>
      </c>
      <c r="AM57" s="130">
        <f>'Model homes'!$H277*G24*10^-6</f>
        <v>2.4905448184615379E-6</v>
      </c>
      <c r="AN57" s="130">
        <f>'Model homes'!$H277*H24*10^-6</f>
        <v>2.3126487599999999E-6</v>
      </c>
    </row>
    <row r="58" spans="3:40" ht="15.95" customHeight="1" x14ac:dyDescent="0.3">
      <c r="C58" s="15" t="s">
        <v>18</v>
      </c>
      <c r="D58" s="84" t="s">
        <v>527</v>
      </c>
      <c r="E58" s="130">
        <f>E25*'Model homes'!$J114*10^-6</f>
        <v>4.1625232588799986E-2</v>
      </c>
      <c r="F58" s="130">
        <f>F25*'Model homes'!$J114*10^-6</f>
        <v>3.9176689495341165E-2</v>
      </c>
      <c r="G58" s="130">
        <f>G25*'Model homes'!$J114*10^-6</f>
        <v>4.6622999001599989E-2</v>
      </c>
      <c r="H58" s="130">
        <f>H25*'Model homes'!$J114*10^-6</f>
        <v>4.38804696485647E-2</v>
      </c>
      <c r="J58" s="210" t="s">
        <v>18</v>
      </c>
      <c r="L58" s="207" t="s">
        <v>528</v>
      </c>
      <c r="M58" s="130">
        <f>'Model homes'!$E278*E25*10^-6</f>
        <v>3.2519712959999989E-5</v>
      </c>
      <c r="N58" s="130">
        <f>'Model homes'!$E278*F25*10^-6</f>
        <v>3.0606788668235283E-5</v>
      </c>
      <c r="O58" s="130">
        <f>'Model homes'!$E278*G25*10^-6</f>
        <v>3.6424217969999989E-5</v>
      </c>
      <c r="P58" s="130">
        <f>'Model homes'!$E278*H25*10^-6</f>
        <v>3.4281616912941175E-5</v>
      </c>
      <c r="R58" s="210" t="s">
        <v>18</v>
      </c>
      <c r="T58" s="207" t="s">
        <v>529</v>
      </c>
      <c r="U58" s="130">
        <f>'Model homes'!$F278*E25*10^-6</f>
        <v>1.2646555039999994E-4</v>
      </c>
      <c r="V58" s="130">
        <f>'Model homes'!$F278*F25*10^-6</f>
        <v>1.1902640037647054E-4</v>
      </c>
      <c r="W58" s="130">
        <f>'Model homes'!$F278*G25*10^-6</f>
        <v>1.4164973654999996E-4</v>
      </c>
      <c r="X58" s="130">
        <f>'Model homes'!$F278*H25*10^-6</f>
        <v>1.3331739910588233E-4</v>
      </c>
      <c r="Z58" s="210" t="s">
        <v>18</v>
      </c>
      <c r="AB58" s="207" t="s">
        <v>530</v>
      </c>
      <c r="AC58" s="130">
        <f>'Model homes'!$G278*E25*10^-6</f>
        <v>1.8066507199999993E-6</v>
      </c>
      <c r="AD58" s="130">
        <f>'Model homes'!$G278*F25*10^-6</f>
        <v>1.7003771482352939E-6</v>
      </c>
      <c r="AE58" s="130">
        <f>'Model homes'!$G278*G25*10^-6</f>
        <v>2.0235676649999999E-6</v>
      </c>
      <c r="AF58" s="130">
        <f>'Model homes'!$G278*H25*10^-6</f>
        <v>1.9045342729411762E-6</v>
      </c>
      <c r="AH58" s="210" t="s">
        <v>18</v>
      </c>
      <c r="AJ58" s="207" t="s">
        <v>531</v>
      </c>
      <c r="AK58" s="130">
        <f>'Model homes'!$H278*E25*10^-6</f>
        <v>1.8066507199999993E-6</v>
      </c>
      <c r="AL58" s="130">
        <f>'Model homes'!$H278*F25*10^-6</f>
        <v>1.7003771482352939E-6</v>
      </c>
      <c r="AM58" s="130">
        <f>'Model homes'!$H278*G25*10^-6</f>
        <v>2.0235676649999999E-6</v>
      </c>
      <c r="AN58" s="130">
        <f>'Model homes'!$H278*H25*10^-6</f>
        <v>1.9045342729411762E-6</v>
      </c>
    </row>
    <row r="59" spans="3:40" ht="15.95" customHeight="1" x14ac:dyDescent="0.3">
      <c r="C59" s="15" t="s">
        <v>19</v>
      </c>
      <c r="D59" s="84" t="s">
        <v>527</v>
      </c>
      <c r="E59" s="130">
        <f>E26*'Model homes'!$J115*10^-6</f>
        <v>5.0730752217599991E-2</v>
      </c>
      <c r="F59" s="130">
        <f>F26*'Model homes'!$J115*10^-6</f>
        <v>4.7191397411720917E-2</v>
      </c>
      <c r="G59" s="130">
        <f>G26*'Model homes'!$J115*10^-6</f>
        <v>5.6821780033199987E-2</v>
      </c>
      <c r="H59" s="130">
        <f>H26*'Model homes'!$J115*10^-6</f>
        <v>5.2857469798325576E-2</v>
      </c>
      <c r="J59" s="210" t="s">
        <v>19</v>
      </c>
      <c r="L59" s="207" t="s">
        <v>528</v>
      </c>
      <c r="M59" s="130">
        <f>'Model homes'!$E279*E26*10^-6</f>
        <v>3.2519712959999989E-5</v>
      </c>
      <c r="N59" s="130">
        <f>'Model homes'!$E279*F26*10^-6</f>
        <v>3.025089577674418E-5</v>
      </c>
      <c r="O59" s="130">
        <f>'Model homes'!$E279*G26*10^-6</f>
        <v>3.6424217969999989E-5</v>
      </c>
      <c r="P59" s="130">
        <f>'Model homes'!$E279*H26*10^-6</f>
        <v>3.3882993460465109E-5</v>
      </c>
      <c r="R59" s="210" t="s">
        <v>19</v>
      </c>
      <c r="T59" s="207" t="s">
        <v>529</v>
      </c>
      <c r="U59" s="130">
        <f>'Model homes'!$F279*E26*10^-6</f>
        <v>1.2646555039999994E-4</v>
      </c>
      <c r="V59" s="130">
        <f>'Model homes'!$F279*F26*10^-6</f>
        <v>1.1764237246511625E-4</v>
      </c>
      <c r="W59" s="130">
        <f>'Model homes'!$F279*G26*10^-6</f>
        <v>1.4164973654999996E-4</v>
      </c>
      <c r="X59" s="130">
        <f>'Model homes'!$F279*H26*10^-6</f>
        <v>1.3176719679069764E-4</v>
      </c>
      <c r="Z59" s="210" t="s">
        <v>19</v>
      </c>
      <c r="AB59" s="207" t="s">
        <v>530</v>
      </c>
      <c r="AC59" s="130">
        <f>'Model homes'!$G279*E26*10^-6</f>
        <v>1.8066507199999993E-6</v>
      </c>
      <c r="AD59" s="130">
        <f>'Model homes'!$G279*F26*10^-6</f>
        <v>1.6806053209302322E-6</v>
      </c>
      <c r="AE59" s="130">
        <f>'Model homes'!$G279*G26*10^-6</f>
        <v>2.0235676649999999E-6</v>
      </c>
      <c r="AF59" s="130">
        <f>'Model homes'!$G279*H26*10^-6</f>
        <v>1.8823885255813951E-6</v>
      </c>
      <c r="AH59" s="210" t="s">
        <v>19</v>
      </c>
      <c r="AJ59" s="207" t="s">
        <v>531</v>
      </c>
      <c r="AK59" s="130">
        <f>'Model homes'!$H279*E26*10^-6</f>
        <v>1.8066507199999993E-6</v>
      </c>
      <c r="AL59" s="130">
        <f>'Model homes'!$H279*F26*10^-6</f>
        <v>1.6806053209302322E-6</v>
      </c>
      <c r="AM59" s="130">
        <f>'Model homes'!$H279*G26*10^-6</f>
        <v>2.0235676649999999E-6</v>
      </c>
      <c r="AN59" s="130">
        <f>'Model homes'!$H279*H26*10^-6</f>
        <v>1.8823885255813951E-6</v>
      </c>
    </row>
    <row r="60" spans="3:40" ht="15.95" customHeight="1" x14ac:dyDescent="0.3">
      <c r="C60" s="14" t="s">
        <v>20</v>
      </c>
      <c r="D60" s="84" t="s">
        <v>527</v>
      </c>
      <c r="E60" s="130">
        <f>E27*'Model homes'!$J116*10^-6</f>
        <v>3.4034748999077637E-2</v>
      </c>
      <c r="F60" s="130">
        <f>F27*'Model homes'!$J116*10^-6</f>
        <v>3.3252340976110337E-2</v>
      </c>
      <c r="G60" s="130">
        <f>G27*'Model homes'!$J116*10^-6</f>
        <v>3.7244809547255162E-2</v>
      </c>
      <c r="H60" s="130">
        <f>H27*'Model homes'!$J116*10^-6</f>
        <v>3.7244809547255162E-2</v>
      </c>
      <c r="J60" s="213" t="s">
        <v>20</v>
      </c>
      <c r="L60" s="207" t="s">
        <v>528</v>
      </c>
      <c r="M60" s="130">
        <f>'Model homes'!$E280*E27*10^-6</f>
        <v>0</v>
      </c>
      <c r="N60" s="130">
        <f>'Model homes'!$E280*F27*10^-6</f>
        <v>0</v>
      </c>
      <c r="O60" s="130">
        <f>'Model homes'!$E280*G27*10^-6</f>
        <v>0</v>
      </c>
      <c r="P60" s="130">
        <f>'Model homes'!$E280*H27*10^-6</f>
        <v>0</v>
      </c>
      <c r="R60" s="213" t="s">
        <v>20</v>
      </c>
      <c r="T60" s="207" t="s">
        <v>529</v>
      </c>
      <c r="U60" s="130">
        <f>'Model homes'!$F280*E27*10^-6</f>
        <v>2.2104902927058819E-5</v>
      </c>
      <c r="V60" s="130">
        <f>'Model homes'!$F280*F27*10^-6</f>
        <v>2.1596744239080457E-5</v>
      </c>
      <c r="W60" s="130">
        <f>'Model homes'!$F280*G27*10^-6</f>
        <v>2.418977438620689E-5</v>
      </c>
      <c r="X60" s="130">
        <f>'Model homes'!$F280*H27*10^-6</f>
        <v>2.418977438620689E-5</v>
      </c>
      <c r="Z60" s="213" t="s">
        <v>20</v>
      </c>
      <c r="AB60" s="207" t="s">
        <v>530</v>
      </c>
      <c r="AC60" s="130">
        <f>'Model homes'!$G280*E27*10^-6</f>
        <v>0</v>
      </c>
      <c r="AD60" s="130">
        <f>'Model homes'!$G280*F27*10^-6</f>
        <v>0</v>
      </c>
      <c r="AE60" s="130">
        <f>'Model homes'!$G280*G27*10^-6</f>
        <v>0</v>
      </c>
      <c r="AF60" s="130">
        <f>'Model homes'!$G280*H27*10^-6</f>
        <v>0</v>
      </c>
      <c r="AH60" s="213" t="s">
        <v>20</v>
      </c>
      <c r="AJ60" s="207" t="s">
        <v>531</v>
      </c>
      <c r="AK60" s="130">
        <f>'Model homes'!$H280*E27*10^-6</f>
        <v>0</v>
      </c>
      <c r="AL60" s="130">
        <f>'Model homes'!$H280*F27*10^-6</f>
        <v>0</v>
      </c>
      <c r="AM60" s="130">
        <f>'Model homes'!$H280*G27*10^-6</f>
        <v>0</v>
      </c>
      <c r="AN60" s="130">
        <f>'Model homes'!$H280*H27*10^-6</f>
        <v>0</v>
      </c>
    </row>
    <row r="61" spans="3:40" ht="15.95" customHeight="1" x14ac:dyDescent="0.3">
      <c r="C61" s="14" t="s">
        <v>21</v>
      </c>
      <c r="D61" s="84" t="s">
        <v>527</v>
      </c>
      <c r="E61" s="130" t="e">
        <f>E28*'Model homes'!$J117*10^-6</f>
        <v>#N/A</v>
      </c>
      <c r="F61" s="130" t="e">
        <f>F28*'Model homes'!$J117*10^-6</f>
        <v>#N/A</v>
      </c>
      <c r="G61" s="130" t="e">
        <f>G28*'Model homes'!$J117*10^-6</f>
        <v>#N/A</v>
      </c>
      <c r="H61" s="130" t="e">
        <f>H28*'Model homes'!$J117*10^-6</f>
        <v>#N/A</v>
      </c>
      <c r="J61" s="213" t="s">
        <v>21</v>
      </c>
      <c r="L61" s="207" t="s">
        <v>528</v>
      </c>
      <c r="M61" s="130" t="e">
        <f>'Model homes'!$E281*E28*10^-6</f>
        <v>#DIV/0!</v>
      </c>
      <c r="N61" s="130" t="e">
        <f>'Model homes'!$E281*F28*10^-6</f>
        <v>#DIV/0!</v>
      </c>
      <c r="O61" s="130" t="e">
        <f>'Model homes'!$E281*G28*10^-6</f>
        <v>#DIV/0!</v>
      </c>
      <c r="P61" s="130" t="e">
        <f>'Model homes'!$E281*H28*10^-6</f>
        <v>#DIV/0!</v>
      </c>
      <c r="R61" s="213" t="s">
        <v>21</v>
      </c>
      <c r="T61" s="207" t="s">
        <v>529</v>
      </c>
      <c r="U61" s="130" t="e">
        <f>'Model homes'!$F281*E28*10^-6</f>
        <v>#DIV/0!</v>
      </c>
      <c r="V61" s="130" t="e">
        <f>'Model homes'!$F281*F28*10^-6</f>
        <v>#DIV/0!</v>
      </c>
      <c r="W61" s="130" t="e">
        <f>'Model homes'!$F281*G28*10^-6</f>
        <v>#DIV/0!</v>
      </c>
      <c r="X61" s="130" t="e">
        <f>'Model homes'!$F281*H28*10^-6</f>
        <v>#DIV/0!</v>
      </c>
      <c r="Z61" s="213" t="s">
        <v>21</v>
      </c>
      <c r="AB61" s="207" t="s">
        <v>530</v>
      </c>
      <c r="AC61" s="130" t="e">
        <f>'Model homes'!$G281*E28*10^-6</f>
        <v>#DIV/0!</v>
      </c>
      <c r="AD61" s="130" t="e">
        <f>'Model homes'!$G281*F28*10^-6</f>
        <v>#DIV/0!</v>
      </c>
      <c r="AE61" s="130" t="e">
        <f>'Model homes'!$G281*G28*10^-6</f>
        <v>#DIV/0!</v>
      </c>
      <c r="AF61" s="130" t="e">
        <f>'Model homes'!$G281*H28*10^-6</f>
        <v>#DIV/0!</v>
      </c>
      <c r="AH61" s="213" t="s">
        <v>21</v>
      </c>
      <c r="AJ61" s="207" t="s">
        <v>531</v>
      </c>
      <c r="AK61" s="130" t="e">
        <f>'Model homes'!$H281*E28*10^-6</f>
        <v>#DIV/0!</v>
      </c>
      <c r="AL61" s="130" t="e">
        <f>'Model homes'!$H281*F28*10^-6</f>
        <v>#DIV/0!</v>
      </c>
      <c r="AM61" s="130" t="e">
        <f>'Model homes'!$H281*G28*10^-6</f>
        <v>#DIV/0!</v>
      </c>
      <c r="AN61" s="130" t="e">
        <f>'Model homes'!$H281*H28*10^-6</f>
        <v>#DIV/0!</v>
      </c>
    </row>
    <row r="62" spans="3:40" ht="15.95" customHeight="1" x14ac:dyDescent="0.3">
      <c r="C62" s="14" t="s">
        <v>22</v>
      </c>
      <c r="D62" s="84" t="s">
        <v>527</v>
      </c>
      <c r="E62" s="130" t="e">
        <f>E29*'Model homes'!$J118*10^-6</f>
        <v>#N/A</v>
      </c>
      <c r="F62" s="130" t="e">
        <f>F29*'Model homes'!$J118*10^-6</f>
        <v>#N/A</v>
      </c>
      <c r="G62" s="130" t="e">
        <f>G29*'Model homes'!$J118*10^-6</f>
        <v>#N/A</v>
      </c>
      <c r="H62" s="130" t="e">
        <f>H29*'Model homes'!$J118*10^-6</f>
        <v>#N/A</v>
      </c>
      <c r="J62" s="213" t="s">
        <v>22</v>
      </c>
      <c r="L62" s="207" t="s">
        <v>528</v>
      </c>
      <c r="M62" s="130" t="e">
        <f>'Model homes'!$E282*E29*10^-6</f>
        <v>#DIV/0!</v>
      </c>
      <c r="N62" s="130" t="e">
        <f>'Model homes'!$E282*F29*10^-6</f>
        <v>#DIV/0!</v>
      </c>
      <c r="O62" s="130" t="e">
        <f>'Model homes'!$E282*G29*10^-6</f>
        <v>#DIV/0!</v>
      </c>
      <c r="P62" s="130" t="e">
        <f>'Model homes'!$E282*H29*10^-6</f>
        <v>#DIV/0!</v>
      </c>
      <c r="R62" s="213" t="s">
        <v>22</v>
      </c>
      <c r="T62" s="207" t="s">
        <v>529</v>
      </c>
      <c r="U62" s="130" t="e">
        <f>'Model homes'!$F282*E29*10^-6</f>
        <v>#DIV/0!</v>
      </c>
      <c r="V62" s="130" t="e">
        <f>'Model homes'!$F282*F29*10^-6</f>
        <v>#DIV/0!</v>
      </c>
      <c r="W62" s="130" t="e">
        <f>'Model homes'!$F282*G29*10^-6</f>
        <v>#DIV/0!</v>
      </c>
      <c r="X62" s="130" t="e">
        <f>'Model homes'!$F282*H29*10^-6</f>
        <v>#DIV/0!</v>
      </c>
      <c r="Z62" s="213" t="s">
        <v>22</v>
      </c>
      <c r="AB62" s="207" t="s">
        <v>530</v>
      </c>
      <c r="AC62" s="130" t="e">
        <f>'Model homes'!$G282*E29*10^-6</f>
        <v>#DIV/0!</v>
      </c>
      <c r="AD62" s="130" t="e">
        <f>'Model homes'!$G282*F29*10^-6</f>
        <v>#DIV/0!</v>
      </c>
      <c r="AE62" s="130" t="e">
        <f>'Model homes'!$G282*G29*10^-6</f>
        <v>#DIV/0!</v>
      </c>
      <c r="AF62" s="130" t="e">
        <f>'Model homes'!$G282*H29*10^-6</f>
        <v>#DIV/0!</v>
      </c>
      <c r="AH62" s="213" t="s">
        <v>22</v>
      </c>
      <c r="AJ62" s="207" t="s">
        <v>531</v>
      </c>
      <c r="AK62" s="130" t="e">
        <f>'Model homes'!$H282*E29*10^-6</f>
        <v>#DIV/0!</v>
      </c>
      <c r="AL62" s="130" t="e">
        <f>'Model homes'!$H282*F29*10^-6</f>
        <v>#DIV/0!</v>
      </c>
      <c r="AM62" s="130" t="e">
        <f>'Model homes'!$H282*G29*10^-6</f>
        <v>#DIV/0!</v>
      </c>
      <c r="AN62" s="130" t="e">
        <f>'Model homes'!$H282*H29*10^-6</f>
        <v>#DIV/0!</v>
      </c>
    </row>
    <row r="63" spans="3:40" x14ac:dyDescent="0.3">
      <c r="J63" s="26"/>
      <c r="L63" s="207"/>
      <c r="R63" s="26"/>
      <c r="T63" s="207"/>
      <c r="Z63" s="26"/>
      <c r="AB63" s="207"/>
      <c r="AH63" s="26"/>
      <c r="AJ63" s="207"/>
    </row>
    <row r="64" spans="3:40" x14ac:dyDescent="0.3">
      <c r="C64" s="51" t="s">
        <v>313</v>
      </c>
      <c r="E64" s="106"/>
      <c r="J64" s="51" t="s">
        <v>532</v>
      </c>
      <c r="R64" s="51" t="s">
        <v>533</v>
      </c>
      <c r="Z64" s="51" t="s">
        <v>534</v>
      </c>
      <c r="AH64" s="51" t="s">
        <v>535</v>
      </c>
    </row>
    <row r="65" spans="3:40" x14ac:dyDescent="0.3">
      <c r="C65" s="20" t="s">
        <v>14</v>
      </c>
      <c r="D65" s="84" t="s">
        <v>536</v>
      </c>
      <c r="E65" s="42" t="e">
        <f>LOOKUP(E$14,'Model homes'!$C$203:$C$227,'Model homes'!$F$203:$F$227)*E54</f>
        <v>#VALUE!</v>
      </c>
      <c r="F65" s="42" t="e">
        <f>LOOKUP(F$14,'Model homes'!$C$203:$C$227,'Model homes'!$F$203:$F$227)*F54</f>
        <v>#VALUE!</v>
      </c>
      <c r="G65" s="42" t="e">
        <f>LOOKUP(G$14,'Model homes'!$C$203:$C$227,'Model homes'!$F$203:$F$227)*G54</f>
        <v>#VALUE!</v>
      </c>
      <c r="H65" s="42" t="e">
        <f>LOOKUP(H$14,'Model homes'!$C$203:$C$227,'Model homes'!$F$203:$F$227)*H54</f>
        <v>#VALUE!</v>
      </c>
      <c r="J65" s="209" t="s">
        <v>14</v>
      </c>
      <c r="L65" s="207" t="s">
        <v>536</v>
      </c>
      <c r="M65" s="159" t="e">
        <f>LOOKUP(E$14,'Model homes'!$C$351:$C$375,'Model homes'!$E$351:$E$375)*M54</f>
        <v>#DIV/0!</v>
      </c>
      <c r="N65" s="159" t="e">
        <f>LOOKUP(F$14,'Model homes'!$C$351:$C$375,'Model homes'!$E$351:$E$375)*N54</f>
        <v>#DIV/0!</v>
      </c>
      <c r="O65" s="159" t="e">
        <f>LOOKUP(G$14,'Model homes'!$C$351:$C$375,'Model homes'!$E$351:$E$375)*O54</f>
        <v>#DIV/0!</v>
      </c>
      <c r="P65" s="159" t="e">
        <f>LOOKUP(H$14,'Model homes'!$C$351:$C$375,'Model homes'!$E$351:$E$375)*P54</f>
        <v>#DIV/0!</v>
      </c>
      <c r="R65" s="209" t="s">
        <v>14</v>
      </c>
      <c r="T65" s="207" t="s">
        <v>536</v>
      </c>
      <c r="U65" s="159" t="e">
        <f>LOOKUP(E$14,'Model homes'!$C$351:$C$375,'Model homes'!$F$351:$F$375)*U54</f>
        <v>#DIV/0!</v>
      </c>
      <c r="V65" s="159" t="e">
        <f>LOOKUP(F$14,'Model homes'!$C$351:$C$375,'Model homes'!$F$351:$F$375)*V54</f>
        <v>#DIV/0!</v>
      </c>
      <c r="W65" s="159" t="e">
        <f>LOOKUP(G$14,'Model homes'!$C$351:$C$375,'Model homes'!$F$351:$F$375)*W54</f>
        <v>#DIV/0!</v>
      </c>
      <c r="X65" s="159" t="e">
        <f>LOOKUP(H$14,'Model homes'!$C$351:$C$375,'Model homes'!$F$351:$F$375)*X54</f>
        <v>#DIV/0!</v>
      </c>
      <c r="Z65" s="209" t="s">
        <v>14</v>
      </c>
      <c r="AB65" s="207" t="s">
        <v>536</v>
      </c>
      <c r="AC65" s="159" t="e">
        <f>LOOKUP(E$14,'Model homes'!$C$351:$C$375,'Model homes'!$G$351:$G$375)*AC54</f>
        <v>#DIV/0!</v>
      </c>
      <c r="AD65" s="159" t="e">
        <f>LOOKUP(F$14,'Model homes'!$C$351:$C$375,'Model homes'!$G$351:$G$375)*AD54</f>
        <v>#DIV/0!</v>
      </c>
      <c r="AE65" s="159" t="e">
        <f>LOOKUP(G$14,'Model homes'!$C$351:$C$375,'Model homes'!$G$351:$G$375)*AE54</f>
        <v>#DIV/0!</v>
      </c>
      <c r="AF65" s="159" t="e">
        <f>LOOKUP(H$14,'Model homes'!$C$351:$C$375,'Model homes'!$G$351:$G$375)*AF54</f>
        <v>#DIV/0!</v>
      </c>
      <c r="AH65" s="209" t="s">
        <v>14</v>
      </c>
      <c r="AJ65" s="207" t="s">
        <v>536</v>
      </c>
      <c r="AK65" s="159" t="e">
        <f>LOOKUP(E$14,'Model homes'!$C$351:$C$375,'Model homes'!$H$351:$H$375)*AK54</f>
        <v>#DIV/0!</v>
      </c>
      <c r="AL65" s="159" t="e">
        <f>LOOKUP(F$14,'Model homes'!$C$351:$C$375,'Model homes'!$H$351:$H$375)*AL54</f>
        <v>#DIV/0!</v>
      </c>
      <c r="AM65" s="159" t="e">
        <f>LOOKUP(G$14,'Model homes'!$C$351:$C$375,'Model homes'!$H$351:$H$375)*AM54</f>
        <v>#DIV/0!</v>
      </c>
      <c r="AN65" s="159" t="e">
        <f>LOOKUP(H$14,'Model homes'!$C$351:$C$375,'Model homes'!$H$351:$H$375)*AN54</f>
        <v>#DIV/0!</v>
      </c>
    </row>
    <row r="66" spans="3:40" x14ac:dyDescent="0.3">
      <c r="C66" s="14" t="s">
        <v>15</v>
      </c>
      <c r="D66" s="84" t="s">
        <v>536</v>
      </c>
      <c r="E66" s="42">
        <f>LOOKUP(E$14,'Model homes'!$C$203:$C$227,'Model homes'!$F$203:$F$227)*E55</f>
        <v>0</v>
      </c>
      <c r="F66" s="42">
        <f>LOOKUP(F$14,'Model homes'!$C$203:$C$227,'Model homes'!$F$203:$F$227)*F55</f>
        <v>0</v>
      </c>
      <c r="G66" s="42">
        <f>LOOKUP(G$14,'Model homes'!$C$203:$C$227,'Model homes'!$F$203:$F$227)*G55</f>
        <v>0</v>
      </c>
      <c r="H66" s="42">
        <f>LOOKUP(H$14,'Model homes'!$C$203:$C$227,'Model homes'!$F$203:$F$227)*H55</f>
        <v>0</v>
      </c>
      <c r="J66" s="213" t="s">
        <v>15</v>
      </c>
      <c r="L66" s="207" t="s">
        <v>536</v>
      </c>
      <c r="M66" s="42">
        <f>LOOKUP(E$14,'Model homes'!$C$351:$C$375,'Model homes'!$E$351:$E$375)*M55</f>
        <v>8.6469018662434532E-2</v>
      </c>
      <c r="N66" s="42">
        <f>LOOKUP(F$14,'Model homes'!$C$351:$C$375,'Model homes'!$E$351:$E$375)*N55</f>
        <v>8.0292660186546391E-2</v>
      </c>
      <c r="O66" s="42">
        <f>LOOKUP(G$14,'Model homes'!$C$351:$C$375,'Model homes'!$E$351:$E$375)*O55</f>
        <v>9.3959915335149885E-2</v>
      </c>
      <c r="P66" s="42">
        <f>LOOKUP(H$14,'Model homes'!$C$351:$C$375,'Model homes'!$E$351:$E$375)*P55</f>
        <v>8.9933061820786336E-2</v>
      </c>
      <c r="R66" s="213" t="s">
        <v>15</v>
      </c>
      <c r="T66" s="207" t="s">
        <v>536</v>
      </c>
      <c r="U66" s="42">
        <f>LOOKUP(E$14,'Model homes'!$C$351:$C$375,'Model homes'!$F$351:$F$375)*U55</f>
        <v>1.1714182299023073</v>
      </c>
      <c r="V66" s="42">
        <f>LOOKUP(F$14,'Model homes'!$C$351:$C$375,'Model homes'!$F$351:$F$375)*V55</f>
        <v>1.0877454991949997</v>
      </c>
      <c r="W66" s="42">
        <f>LOOKUP(G$14,'Model homes'!$C$351:$C$375,'Model homes'!$F$351:$F$375)*W55</f>
        <v>1.2728993506143373</v>
      </c>
      <c r="X66" s="42">
        <f>LOOKUP(H$14,'Model homes'!$C$351:$C$375,'Model homes'!$F$351:$F$375)*X55</f>
        <v>1.2183465213022944</v>
      </c>
      <c r="Z66" s="213" t="s">
        <v>15</v>
      </c>
      <c r="AB66" s="207" t="s">
        <v>536</v>
      </c>
      <c r="AC66" s="42">
        <f>LOOKUP(E$14,'Model homes'!$C$351:$C$375,'Model homes'!$G$351:$G$375)*AC55</f>
        <v>0.52664521063359704</v>
      </c>
      <c r="AD66" s="42">
        <f>LOOKUP(F$14,'Model homes'!$C$351:$C$375,'Model homes'!$G$351:$G$375)*AD55</f>
        <v>0.48902769558834025</v>
      </c>
      <c r="AE66" s="42">
        <f>LOOKUP(G$14,'Model homes'!$C$351:$C$375,'Model homes'!$G$351:$G$375)*AE55</f>
        <v>0.57226900649784407</v>
      </c>
      <c r="AF66" s="42">
        <f>LOOKUP(H$14,'Model homes'!$C$351:$C$375,'Model homes'!$G$351:$G$375)*AF55</f>
        <v>0.54774319193365095</v>
      </c>
      <c r="AH66" s="213" t="s">
        <v>15</v>
      </c>
      <c r="AJ66" s="207" t="s">
        <v>536</v>
      </c>
      <c r="AK66" s="42">
        <f>LOOKUP(E$14,'Model homes'!$C$351:$C$375,'Model homes'!$H$351:$H$375)*AK55</f>
        <v>4.085086753425708E-3</v>
      </c>
      <c r="AL66" s="42">
        <f>LOOKUP(F$14,'Model homes'!$C$351:$C$375,'Model homes'!$H$351:$H$375)*AL55</f>
        <v>3.7932948424667301E-3</v>
      </c>
      <c r="AM66" s="42">
        <f>LOOKUP(G$14,'Model homes'!$C$351:$C$375,'Model homes'!$H$351:$H$375)*AM55</f>
        <v>4.4389818622444267E-3</v>
      </c>
      <c r="AN66" s="42">
        <f>LOOKUP(H$14,'Model homes'!$C$351:$C$375,'Model homes'!$H$351:$H$375)*AN55</f>
        <v>4.2487397824339523E-3</v>
      </c>
    </row>
    <row r="67" spans="3:40" x14ac:dyDescent="0.3">
      <c r="C67" s="15" t="s">
        <v>16</v>
      </c>
      <c r="D67" s="84" t="s">
        <v>536</v>
      </c>
      <c r="E67" s="42">
        <f>LOOKUP(E$14,'Model homes'!$C$203:$C$227,'Model homes'!$F$203:$F$227)*E56</f>
        <v>0</v>
      </c>
      <c r="F67" s="42">
        <f>LOOKUP(F$14,'Model homes'!$C$203:$C$227,'Model homes'!$F$203:$F$227)*F56</f>
        <v>0</v>
      </c>
      <c r="G67" s="42">
        <f>LOOKUP(G$14,'Model homes'!$C$203:$C$227,'Model homes'!$F$203:$F$227)*G56</f>
        <v>0</v>
      </c>
      <c r="H67" s="42">
        <f>LOOKUP(H$14,'Model homes'!$C$203:$C$227,'Model homes'!$F$203:$F$227)*H56</f>
        <v>0</v>
      </c>
      <c r="J67" s="210" t="s">
        <v>16</v>
      </c>
      <c r="L67" s="207" t="s">
        <v>536</v>
      </c>
      <c r="M67" s="42">
        <f>LOOKUP(E$14,'Model homes'!$C$351:$C$375,'Model homes'!$E$351:$E$375)*M56</f>
        <v>7.025607766322807E-2</v>
      </c>
      <c r="N67" s="42">
        <f>LOOKUP(F$14,'Model homes'!$C$351:$C$375,'Model homes'!$E$351:$E$375)*N56</f>
        <v>6.6910550155455314E-2</v>
      </c>
      <c r="O67" s="42">
        <f>LOOKUP(G$14,'Model homes'!$C$351:$C$375,'Model homes'!$E$351:$E$375)*O56</f>
        <v>7.6772125944573694E-2</v>
      </c>
      <c r="P67" s="42">
        <f>LOOKUP(H$14,'Model homes'!$C$351:$C$375,'Model homes'!$E$351:$E$375)*P56</f>
        <v>7.4944218183988609E-2</v>
      </c>
      <c r="R67" s="210" t="s">
        <v>16</v>
      </c>
      <c r="T67" s="207" t="s">
        <v>536</v>
      </c>
      <c r="U67" s="42">
        <f>LOOKUP(E$14,'Model homes'!$C$351:$C$375,'Model homes'!$F$351:$F$375)*U56</f>
        <v>0.95177731179562475</v>
      </c>
      <c r="V67" s="42">
        <f>LOOKUP(F$14,'Model homes'!$C$351:$C$375,'Model homes'!$F$351:$F$375)*V56</f>
        <v>0.90645458266249979</v>
      </c>
      <c r="W67" s="42">
        <f>LOOKUP(G$14,'Model homes'!$C$351:$C$375,'Model homes'!$F$351:$F$375)*W56</f>
        <v>1.0400519084287878</v>
      </c>
      <c r="X67" s="42">
        <f>LOOKUP(H$14,'Model homes'!$C$351:$C$375,'Model homes'!$F$351:$F$375)*X56</f>
        <v>1.0152887677519118</v>
      </c>
      <c r="Z67" s="210" t="s">
        <v>16</v>
      </c>
      <c r="AB67" s="207" t="s">
        <v>536</v>
      </c>
      <c r="AC67" s="42">
        <f>LOOKUP(E$14,'Model homes'!$C$351:$C$375,'Model homes'!$G$351:$G$375)*AC56</f>
        <v>0.42789923363979765</v>
      </c>
      <c r="AD67" s="42">
        <f>LOOKUP(F$14,'Model homes'!$C$351:$C$375,'Model homes'!$G$351:$G$375)*AD56</f>
        <v>0.40752307965695017</v>
      </c>
      <c r="AE67" s="42">
        <f>LOOKUP(G$14,'Model homes'!$C$351:$C$375,'Model homes'!$G$351:$G$375)*AE56</f>
        <v>0.46758565165067756</v>
      </c>
      <c r="AF67" s="42">
        <f>LOOKUP(H$14,'Model homes'!$C$351:$C$375,'Model homes'!$G$351:$G$375)*AF56</f>
        <v>0.45645265994470902</v>
      </c>
      <c r="AH67" s="210" t="s">
        <v>16</v>
      </c>
      <c r="AJ67" s="207" t="s">
        <v>536</v>
      </c>
      <c r="AK67" s="42">
        <f>LOOKUP(E$14,'Model homes'!$C$351:$C$375,'Model homes'!$H$351:$H$375)*AK56</f>
        <v>3.3191329871583878E-3</v>
      </c>
      <c r="AL67" s="42">
        <f>LOOKUP(F$14,'Model homes'!$C$351:$C$375,'Model homes'!$H$351:$H$375)*AL56</f>
        <v>3.1610790353889411E-3</v>
      </c>
      <c r="AM67" s="42">
        <f>LOOKUP(G$14,'Model homes'!$C$351:$C$375,'Model homes'!$H$351:$H$375)*AM56</f>
        <v>3.6269729850045935E-3</v>
      </c>
      <c r="AN67" s="42">
        <f>LOOKUP(H$14,'Model homes'!$C$351:$C$375,'Model homes'!$H$351:$H$375)*AN56</f>
        <v>3.5406164853616267E-3</v>
      </c>
    </row>
    <row r="68" spans="3:40" x14ac:dyDescent="0.3">
      <c r="C68" s="15" t="s">
        <v>17</v>
      </c>
      <c r="D68" s="84" t="s">
        <v>536</v>
      </c>
      <c r="E68" s="42">
        <f>LOOKUP(E$14,'Model homes'!$C$203:$C$227,'Model homes'!$F$203:$F$227)*E57</f>
        <v>16.061917395316222</v>
      </c>
      <c r="F68" s="42">
        <f>LOOKUP(F$14,'Model homes'!$C$203:$C$227,'Model homes'!$F$203:$F$227)*F57</f>
        <v>14.914637581365065</v>
      </c>
      <c r="G68" s="42">
        <f>LOOKUP(G$14,'Model homes'!$C$203:$C$227,'Model homes'!$F$203:$F$227)*G57</f>
        <v>17.990404187845968</v>
      </c>
      <c r="H68" s="42">
        <f>LOOKUP(H$14,'Model homes'!$C$203:$C$227,'Model homes'!$F$203:$F$227)*H57</f>
        <v>16.705375317285544</v>
      </c>
      <c r="J68" s="210" t="s">
        <v>17</v>
      </c>
      <c r="L68" s="207" t="s">
        <v>536</v>
      </c>
      <c r="M68" s="42">
        <f>LOOKUP(E$14,'Model homes'!$C$351:$C$375,'Model homes'!$E$351:$E$375)*M57</f>
        <v>0.82145567729312829</v>
      </c>
      <c r="N68" s="42">
        <f>LOOKUP(F$14,'Model homes'!$C$351:$C$375,'Model homes'!$E$351:$E$375)*N57</f>
        <v>0.76278027177219054</v>
      </c>
      <c r="O68" s="42">
        <f>LOOKUP(G$14,'Model homes'!$C$351:$C$375,'Model homes'!$E$351:$E$375)*O57</f>
        <v>0.92008440170496764</v>
      </c>
      <c r="P68" s="42">
        <f>LOOKUP(H$14,'Model homes'!$C$351:$C$375,'Model homes'!$E$351:$E$375)*P57</f>
        <v>0.85436408729747015</v>
      </c>
      <c r="R68" s="210" t="s">
        <v>17</v>
      </c>
      <c r="T68" s="207" t="s">
        <v>536</v>
      </c>
      <c r="U68" s="42">
        <f>LOOKUP(E$14,'Model homes'!$C$351:$C$375,'Model homes'!$F$351:$F$375)*U57</f>
        <v>1.0580551753956324</v>
      </c>
      <c r="V68" s="42">
        <f>LOOKUP(F$14,'Model homes'!$C$351:$C$375,'Model homes'!$F$351:$F$375)*V57</f>
        <v>0.98247980572451599</v>
      </c>
      <c r="W68" s="42">
        <f>LOOKUP(G$14,'Model homes'!$C$351:$C$375,'Model homes'!$F$351:$F$375)*W57</f>
        <v>1.1850914053362267</v>
      </c>
      <c r="X68" s="42">
        <f>LOOKUP(H$14,'Model homes'!$C$351:$C$375,'Model homes'!$F$351:$F$375)*X57</f>
        <v>1.1004420192407822</v>
      </c>
      <c r="Z68" s="210" t="s">
        <v>17</v>
      </c>
      <c r="AB68" s="207" t="s">
        <v>536</v>
      </c>
      <c r="AC68" s="42">
        <f>LOOKUP(E$14,'Model homes'!$C$351:$C$375,'Model homes'!$G$351:$G$375)*AC57</f>
        <v>7.5235030090513855E-2</v>
      </c>
      <c r="AD68" s="42">
        <f>LOOKUP(F$14,'Model homes'!$C$351:$C$375,'Model homes'!$G$351:$G$375)*AD57</f>
        <v>6.9861099369762897E-2</v>
      </c>
      <c r="AE68" s="42">
        <f>LOOKUP(G$14,'Model homes'!$C$351:$C$375,'Model homes'!$G$351:$G$375)*AE57</f>
        <v>8.4268183374407807E-2</v>
      </c>
      <c r="AF68" s="42">
        <f>LOOKUP(H$14,'Model homes'!$C$351:$C$375,'Model homes'!$G$351:$G$375)*AF57</f>
        <v>7.8249027419092981E-2</v>
      </c>
      <c r="AH68" s="210" t="s">
        <v>17</v>
      </c>
      <c r="AJ68" s="207" t="s">
        <v>536</v>
      </c>
      <c r="AK68" s="42">
        <f>LOOKUP(E$14,'Model homes'!$C$351:$C$375,'Model homes'!$H$351:$H$375)*AK57</f>
        <v>4.085086753425708E-3</v>
      </c>
      <c r="AL68" s="42">
        <f>LOOKUP(F$14,'Model homes'!$C$351:$C$375,'Model homes'!$H$351:$H$375)*AL57</f>
        <v>3.7932948424667301E-3</v>
      </c>
      <c r="AM68" s="42">
        <f>LOOKUP(G$14,'Model homes'!$C$351:$C$375,'Model homes'!$H$351:$H$375)*AM57</f>
        <v>4.575565919544256E-3</v>
      </c>
      <c r="AN68" s="42">
        <f>LOOKUP(H$14,'Model homes'!$C$351:$C$375,'Model homes'!$H$351:$H$375)*AN57</f>
        <v>4.2487397824339523E-3</v>
      </c>
    </row>
    <row r="69" spans="3:40" x14ac:dyDescent="0.3">
      <c r="C69" s="15" t="s">
        <v>18</v>
      </c>
      <c r="D69" s="84" t="s">
        <v>536</v>
      </c>
      <c r="E69" s="42">
        <f>LOOKUP(E$14,'Model homes'!$C$203:$C$227,'Model homes'!$F$203:$F$227)*E58</f>
        <v>8.0309586976581109</v>
      </c>
      <c r="F69" s="42">
        <f>LOOKUP(F$14,'Model homes'!$C$203:$C$227,'Model homes'!$F$203:$F$227)*F58</f>
        <v>7.5585493625017515</v>
      </c>
      <c r="G69" s="42">
        <f>LOOKUP(G$14,'Model homes'!$C$203:$C$227,'Model homes'!$F$203:$F$227)*G58</f>
        <v>8.995202093922984</v>
      </c>
      <c r="H69" s="42">
        <f>LOOKUP(H$14,'Model homes'!$C$203:$C$227,'Model homes'!$F$203:$F$227)*H58</f>
        <v>8.4660725589863386</v>
      </c>
      <c r="J69" s="210" t="s">
        <v>18</v>
      </c>
      <c r="L69" s="207" t="s">
        <v>536</v>
      </c>
      <c r="M69" s="42">
        <f>LOOKUP(E$14,'Model homes'!$C$351:$C$375,'Model homes'!$E$351:$E$375)*M58</f>
        <v>0.63230469896905261</v>
      </c>
      <c r="N69" s="42">
        <f>LOOKUP(F$14,'Model homes'!$C$351:$C$375,'Model homes'!$E$351:$E$375)*N58</f>
        <v>0.59511030491204953</v>
      </c>
      <c r="O69" s="42">
        <f>LOOKUP(G$14,'Model homes'!$C$351:$C$375,'Model homes'!$E$351:$E$375)*O58</f>
        <v>0.70822286183869221</v>
      </c>
      <c r="P69" s="42">
        <f>LOOKUP(H$14,'Model homes'!$C$351:$C$375,'Model homes'!$E$351:$E$375)*P58</f>
        <v>0.66656269349523989</v>
      </c>
      <c r="R69" s="210" t="s">
        <v>18</v>
      </c>
      <c r="T69" s="207" t="s">
        <v>536</v>
      </c>
      <c r="U69" s="42">
        <f>LOOKUP(E$14,'Model homes'!$C$351:$C$375,'Model homes'!$F$351:$F$375)*U58</f>
        <v>2.1491745750223781</v>
      </c>
      <c r="V69" s="42">
        <f>LOOKUP(F$14,'Model homes'!$C$351:$C$375,'Model homes'!$F$351:$F$375)*V58</f>
        <v>2.0227525411975322</v>
      </c>
      <c r="W69" s="42">
        <f>LOOKUP(G$14,'Model homes'!$C$351:$C$375,'Model homes'!$F$351:$F$375)*W58</f>
        <v>2.4072169170892099</v>
      </c>
      <c r="X69" s="42">
        <f>LOOKUP(H$14,'Model homes'!$C$351:$C$375,'Model homes'!$F$351:$F$375)*X58</f>
        <v>2.2656159219663157</v>
      </c>
      <c r="Z69" s="210" t="s">
        <v>18</v>
      </c>
      <c r="AB69" s="207" t="s">
        <v>536</v>
      </c>
      <c r="AC69" s="42">
        <f>LOOKUP(E$14,'Model homes'!$C$351:$C$375,'Model homes'!$G$351:$G$375)*AC58</f>
        <v>6.1128461948542517E-2</v>
      </c>
      <c r="AD69" s="42">
        <f>LOOKUP(F$14,'Model homes'!$C$351:$C$375,'Model homes'!$G$351:$G$375)*AD58</f>
        <v>5.7532670069216495E-2</v>
      </c>
      <c r="AE69" s="42">
        <f>LOOKUP(G$14,'Model homes'!$C$351:$C$375,'Model homes'!$G$351:$G$375)*AE58</f>
        <v>6.8467898991706355E-2</v>
      </c>
      <c r="AF69" s="42">
        <f>LOOKUP(H$14,'Model homes'!$C$351:$C$375,'Model homes'!$G$351:$G$375)*AF58</f>
        <v>6.4440375521605975E-2</v>
      </c>
      <c r="AH69" s="210" t="s">
        <v>18</v>
      </c>
      <c r="AJ69" s="207" t="s">
        <v>536</v>
      </c>
      <c r="AK69" s="42">
        <f>LOOKUP(E$14,'Model homes'!$C$351:$C$375,'Model homes'!$H$351:$H$375)*AK58</f>
        <v>3.3191329871583878E-3</v>
      </c>
      <c r="AL69" s="42">
        <f>LOOKUP(F$14,'Model homes'!$C$351:$C$375,'Model homes'!$H$351:$H$375)*AL58</f>
        <v>3.1238898702667184E-3</v>
      </c>
      <c r="AM69" s="42">
        <f>LOOKUP(G$14,'Model homes'!$C$351:$C$375,'Model homes'!$H$351:$H$375)*AM58</f>
        <v>3.7176473096297083E-3</v>
      </c>
      <c r="AN69" s="42">
        <f>LOOKUP(H$14,'Model homes'!$C$351:$C$375,'Model homes'!$H$351:$H$375)*AN58</f>
        <v>3.4989621737691371E-3</v>
      </c>
    </row>
    <row r="70" spans="3:40" x14ac:dyDescent="0.3">
      <c r="C70" s="15" t="s">
        <v>19</v>
      </c>
      <c r="D70" s="84" t="s">
        <v>536</v>
      </c>
      <c r="E70" s="42">
        <f>LOOKUP(E$14,'Model homes'!$C$203:$C$227,'Model homes'!$F$203:$F$227)*E59</f>
        <v>9.7877309127708241</v>
      </c>
      <c r="F70" s="42">
        <f>LOOKUP(F$14,'Model homes'!$C$203:$C$227,'Model homes'!$F$203:$F$227)*F59</f>
        <v>9.1048659653682087</v>
      </c>
      <c r="G70" s="42">
        <f>LOOKUP(G$14,'Model homes'!$C$203:$C$227,'Model homes'!$F$203:$F$227)*G59</f>
        <v>10.962902551968636</v>
      </c>
      <c r="H70" s="42">
        <f>LOOKUP(H$14,'Model homes'!$C$203:$C$227,'Model homes'!$F$203:$F$227)*H59</f>
        <v>10.198048885552222</v>
      </c>
      <c r="J70" s="210" t="s">
        <v>19</v>
      </c>
      <c r="L70" s="207" t="s">
        <v>536</v>
      </c>
      <c r="M70" s="42">
        <f>LOOKUP(E$14,'Model homes'!$C$351:$C$375,'Model homes'!$E$351:$E$375)*M59</f>
        <v>0.63230469896905261</v>
      </c>
      <c r="N70" s="42">
        <f>LOOKUP(F$14,'Model homes'!$C$351:$C$375,'Model homes'!$E$351:$E$375)*N59</f>
        <v>0.5881904176456304</v>
      </c>
      <c r="O70" s="42">
        <f>LOOKUP(G$14,'Model homes'!$C$351:$C$375,'Model homes'!$E$351:$E$375)*O59</f>
        <v>0.70822286183869221</v>
      </c>
      <c r="P70" s="42">
        <f>LOOKUP(H$14,'Model homes'!$C$351:$C$375,'Model homes'!$E$351:$E$375)*P59</f>
        <v>0.65881196450110902</v>
      </c>
      <c r="R70" s="210" t="s">
        <v>19</v>
      </c>
      <c r="T70" s="207" t="s">
        <v>536</v>
      </c>
      <c r="U70" s="42">
        <f>LOOKUP(E$14,'Model homes'!$C$351:$C$375,'Model homes'!$F$351:$F$375)*U59</f>
        <v>2.1491745750223781</v>
      </c>
      <c r="V70" s="42">
        <f>LOOKUP(F$14,'Model homes'!$C$351:$C$375,'Model homes'!$F$351:$F$375)*V59</f>
        <v>1.9992321628115151</v>
      </c>
      <c r="W70" s="42">
        <f>LOOKUP(G$14,'Model homes'!$C$351:$C$375,'Model homes'!$F$351:$F$375)*W59</f>
        <v>2.4072169170892099</v>
      </c>
      <c r="X70" s="42">
        <f>LOOKUP(H$14,'Model homes'!$C$351:$C$375,'Model homes'!$F$351:$F$375)*X59</f>
        <v>2.2392715507806606</v>
      </c>
      <c r="Z70" s="210" t="s">
        <v>19</v>
      </c>
      <c r="AB70" s="207" t="s">
        <v>536</v>
      </c>
      <c r="AC70" s="42">
        <f>LOOKUP(E$14,'Model homes'!$C$351:$C$375,'Model homes'!$G$351:$G$375)*AC59</f>
        <v>6.1128461948542517E-2</v>
      </c>
      <c r="AD70" s="42">
        <f>LOOKUP(F$14,'Model homes'!$C$351:$C$375,'Model homes'!$G$351:$G$375)*AD59</f>
        <v>5.6863685533527927E-2</v>
      </c>
      <c r="AE70" s="42">
        <f>LOOKUP(G$14,'Model homes'!$C$351:$C$375,'Model homes'!$G$351:$G$375)*AE59</f>
        <v>6.8467898991706355E-2</v>
      </c>
      <c r="AF70" s="42">
        <f>LOOKUP(H$14,'Model homes'!$C$351:$C$375,'Model homes'!$G$351:$G$375)*AF59</f>
        <v>6.3691068829494282E-2</v>
      </c>
      <c r="AH70" s="210" t="s">
        <v>19</v>
      </c>
      <c r="AJ70" s="207" t="s">
        <v>536</v>
      </c>
      <c r="AK70" s="42">
        <f>LOOKUP(E$14,'Model homes'!$C$351:$C$375,'Model homes'!$H$351:$H$375)*AK59</f>
        <v>3.3191329871583878E-3</v>
      </c>
      <c r="AL70" s="42">
        <f>LOOKUP(F$14,'Model homes'!$C$351:$C$375,'Model homes'!$H$351:$H$375)*AL59</f>
        <v>3.0875655694496632E-3</v>
      </c>
      <c r="AM70" s="42">
        <f>LOOKUP(G$14,'Model homes'!$C$351:$C$375,'Model homes'!$H$351:$H$375)*AM59</f>
        <v>3.7176473096297083E-3</v>
      </c>
      <c r="AN70" s="42">
        <f>LOOKUP(H$14,'Model homes'!$C$351:$C$375,'Model homes'!$H$351:$H$375)*AN59</f>
        <v>3.458276567097403E-3</v>
      </c>
    </row>
    <row r="71" spans="3:40" x14ac:dyDescent="0.3">
      <c r="C71" s="14" t="s">
        <v>20</v>
      </c>
      <c r="D71" s="84" t="s">
        <v>536</v>
      </c>
      <c r="E71" s="42">
        <f>LOOKUP(E$14,'Model homes'!$C$203:$C$227,'Model homes'!$F$203:$F$227)*E60</f>
        <v>6.5664897586733968</v>
      </c>
      <c r="F71" s="42">
        <f>LOOKUP(F$14,'Model homes'!$C$203:$C$227,'Model homes'!$F$203:$F$227)*F60</f>
        <v>6.4155359711176869</v>
      </c>
      <c r="G71" s="42">
        <f>LOOKUP(G$14,'Model homes'!$C$203:$C$227,'Model homes'!$F$203:$F$227)*G60</f>
        <v>7.1858223623867508</v>
      </c>
      <c r="H71" s="42">
        <f>LOOKUP(H$14,'Model homes'!$C$203:$C$227,'Model homes'!$F$203:$F$227)*H60</f>
        <v>7.1858223623867508</v>
      </c>
      <c r="J71" s="213" t="s">
        <v>20</v>
      </c>
      <c r="L71" s="207" t="s">
        <v>536</v>
      </c>
      <c r="M71" s="42">
        <f>LOOKUP(E$14,'Model homes'!$C$351:$C$375,'Model homes'!$E$351:$E$375)*M60</f>
        <v>0</v>
      </c>
      <c r="N71" s="42">
        <f>LOOKUP(F$14,'Model homes'!$C$351:$C$375,'Model homes'!$E$351:$E$375)*N60</f>
        <v>0</v>
      </c>
      <c r="O71" s="42">
        <f>LOOKUP(G$14,'Model homes'!$C$351:$C$375,'Model homes'!$E$351:$E$375)*O60</f>
        <v>0</v>
      </c>
      <c r="P71" s="42">
        <f>LOOKUP(H$14,'Model homes'!$C$351:$C$375,'Model homes'!$E$351:$E$375)*P60</f>
        <v>0</v>
      </c>
      <c r="R71" s="213" t="s">
        <v>20</v>
      </c>
      <c r="T71" s="207" t="s">
        <v>536</v>
      </c>
      <c r="U71" s="42">
        <f>LOOKUP(E$14,'Model homes'!$C$351:$C$375,'Model homes'!$F$351:$F$375)*U60</f>
        <v>0.3756540433652561</v>
      </c>
      <c r="V71" s="42">
        <f>LOOKUP(F$14,'Model homes'!$C$351:$C$375,'Model homes'!$F$351:$F$375)*V60</f>
        <v>0.36701831823042264</v>
      </c>
      <c r="W71" s="42">
        <f>LOOKUP(G$14,'Model homes'!$C$351:$C$375,'Model homes'!$F$351:$F$375)*W60</f>
        <v>0.41108466236006214</v>
      </c>
      <c r="X71" s="42">
        <f>LOOKUP(H$14,'Model homes'!$C$351:$C$375,'Model homes'!$F$351:$F$375)*X60</f>
        <v>0.41108466236006214</v>
      </c>
      <c r="Z71" s="213" t="s">
        <v>20</v>
      </c>
      <c r="AB71" s="207" t="s">
        <v>536</v>
      </c>
      <c r="AC71" s="42">
        <f>LOOKUP(E$14,'Model homes'!$C$351:$C$375,'Model homes'!$G$351:$G$375)*AC60</f>
        <v>0</v>
      </c>
      <c r="AD71" s="42">
        <f>LOOKUP(F$14,'Model homes'!$C$351:$C$375,'Model homes'!$G$351:$G$375)*AD60</f>
        <v>0</v>
      </c>
      <c r="AE71" s="42">
        <f>LOOKUP(G$14,'Model homes'!$C$351:$C$375,'Model homes'!$G$351:$G$375)*AE60</f>
        <v>0</v>
      </c>
      <c r="AF71" s="42">
        <f>LOOKUP(H$14,'Model homes'!$C$351:$C$375,'Model homes'!$G$351:$G$375)*AF60</f>
        <v>0</v>
      </c>
      <c r="AH71" s="213" t="s">
        <v>20</v>
      </c>
      <c r="AJ71" s="207" t="s">
        <v>536</v>
      </c>
      <c r="AK71" s="42">
        <f>LOOKUP(E$14,'Model homes'!$C$351:$C$375,'Model homes'!$H$351:$H$375)*AK60</f>
        <v>0</v>
      </c>
      <c r="AL71" s="42">
        <f>LOOKUP(F$14,'Model homes'!$C$351:$C$375,'Model homes'!$H$351:$H$375)*AL60</f>
        <v>0</v>
      </c>
      <c r="AM71" s="42">
        <f>LOOKUP(G$14,'Model homes'!$C$351:$C$375,'Model homes'!$H$351:$H$375)*AM60</f>
        <v>0</v>
      </c>
      <c r="AN71" s="42">
        <f>LOOKUP(H$14,'Model homes'!$C$351:$C$375,'Model homes'!$H$351:$H$375)*AN60</f>
        <v>0</v>
      </c>
    </row>
    <row r="72" spans="3:40" x14ac:dyDescent="0.3">
      <c r="C72" s="14" t="s">
        <v>21</v>
      </c>
      <c r="D72" s="84" t="s">
        <v>536</v>
      </c>
      <c r="E72" s="42" t="e">
        <f>LOOKUP(E$14,'Model homes'!$C$203:$C$227,'Model homes'!$F$203:$F$227)*E61</f>
        <v>#N/A</v>
      </c>
      <c r="F72" s="42" t="e">
        <f>LOOKUP(F$14,'Model homes'!$C$203:$C$227,'Model homes'!$F$203:$F$227)*F61</f>
        <v>#N/A</v>
      </c>
      <c r="G72" s="42" t="e">
        <f>LOOKUP(G$14,'Model homes'!$C$203:$C$227,'Model homes'!$F$203:$F$227)*G61</f>
        <v>#N/A</v>
      </c>
      <c r="H72" s="42" t="e">
        <f>LOOKUP(H$14,'Model homes'!$C$203:$C$227,'Model homes'!$F$203:$F$227)*H61</f>
        <v>#N/A</v>
      </c>
      <c r="J72" s="213" t="s">
        <v>21</v>
      </c>
      <c r="L72" s="207" t="s">
        <v>536</v>
      </c>
      <c r="M72" s="159" t="e">
        <f>LOOKUP(E$14,'Model homes'!$C$351:$C$375,'Model homes'!$E$351:$E$375)*M61</f>
        <v>#DIV/0!</v>
      </c>
      <c r="N72" s="159" t="e">
        <f>LOOKUP(F$14,'Model homes'!$C$351:$C$375,'Model homes'!$E$351:$E$375)*N61</f>
        <v>#DIV/0!</v>
      </c>
      <c r="O72" s="159" t="e">
        <f>LOOKUP(G$14,'Model homes'!$C$351:$C$375,'Model homes'!$E$351:$E$375)*O61</f>
        <v>#DIV/0!</v>
      </c>
      <c r="P72" s="159" t="e">
        <f>LOOKUP(H$14,'Model homes'!$C$351:$C$375,'Model homes'!$E$351:$E$375)*P61</f>
        <v>#DIV/0!</v>
      </c>
      <c r="R72" s="213" t="s">
        <v>21</v>
      </c>
      <c r="T72" s="207" t="s">
        <v>536</v>
      </c>
      <c r="U72" s="159" t="e">
        <f>LOOKUP(E$14,'Model homes'!$C$351:$C$375,'Model homes'!$F$351:$F$375)*U61</f>
        <v>#DIV/0!</v>
      </c>
      <c r="V72" s="159" t="e">
        <f>LOOKUP(F$14,'Model homes'!$C$351:$C$375,'Model homes'!$F$351:$F$375)*V61</f>
        <v>#DIV/0!</v>
      </c>
      <c r="W72" s="159" t="e">
        <f>LOOKUP(G$14,'Model homes'!$C$351:$C$375,'Model homes'!$F$351:$F$375)*W61</f>
        <v>#DIV/0!</v>
      </c>
      <c r="X72" s="159" t="e">
        <f>LOOKUP(H$14,'Model homes'!$C$351:$C$375,'Model homes'!$F$351:$F$375)*X61</f>
        <v>#DIV/0!</v>
      </c>
      <c r="Z72" s="213" t="s">
        <v>21</v>
      </c>
      <c r="AB72" s="207" t="s">
        <v>536</v>
      </c>
      <c r="AC72" s="159" t="e">
        <f>LOOKUP(E$14,'Model homes'!$C$351:$C$375,'Model homes'!$G$351:$G$375)*AC61</f>
        <v>#DIV/0!</v>
      </c>
      <c r="AD72" s="159" t="e">
        <f>LOOKUP(F$14,'Model homes'!$C$351:$C$375,'Model homes'!$G$351:$G$375)*AD61</f>
        <v>#DIV/0!</v>
      </c>
      <c r="AE72" s="159" t="e">
        <f>LOOKUP(G$14,'Model homes'!$C$351:$C$375,'Model homes'!$G$351:$G$375)*AE61</f>
        <v>#DIV/0!</v>
      </c>
      <c r="AF72" s="159" t="e">
        <f>LOOKUP(H$14,'Model homes'!$C$351:$C$375,'Model homes'!$G$351:$G$375)*AF61</f>
        <v>#DIV/0!</v>
      </c>
      <c r="AH72" s="213" t="s">
        <v>21</v>
      </c>
      <c r="AJ72" s="207" t="s">
        <v>536</v>
      </c>
      <c r="AK72" s="159" t="e">
        <f>LOOKUP(E$14,'Model homes'!$C$351:$C$375,'Model homes'!$H$351:$H$375)*AK61</f>
        <v>#DIV/0!</v>
      </c>
      <c r="AL72" s="159" t="e">
        <f>LOOKUP(F$14,'Model homes'!$C$351:$C$375,'Model homes'!$H$351:$H$375)*AL61</f>
        <v>#DIV/0!</v>
      </c>
      <c r="AM72" s="159" t="e">
        <f>LOOKUP(G$14,'Model homes'!$C$351:$C$375,'Model homes'!$H$351:$H$375)*AM61</f>
        <v>#DIV/0!</v>
      </c>
      <c r="AN72" s="159" t="e">
        <f>LOOKUP(H$14,'Model homes'!$C$351:$C$375,'Model homes'!$H$351:$H$375)*AN61</f>
        <v>#DIV/0!</v>
      </c>
    </row>
    <row r="73" spans="3:40" x14ac:dyDescent="0.3">
      <c r="C73" s="14" t="s">
        <v>22</v>
      </c>
      <c r="D73" s="84" t="s">
        <v>536</v>
      </c>
      <c r="E73" s="42" t="e">
        <f>LOOKUP(E$14,'Model homes'!$C$203:$C$227,'Model homes'!$F$203:$F$227)*E62</f>
        <v>#N/A</v>
      </c>
      <c r="F73" s="42" t="e">
        <f>LOOKUP(F$14,'Model homes'!$C$203:$C$227,'Model homes'!$F$203:$F$227)*F62</f>
        <v>#N/A</v>
      </c>
      <c r="G73" s="42" t="e">
        <f>LOOKUP(G$14,'Model homes'!$C$203:$C$227,'Model homes'!$F$203:$F$227)*G62</f>
        <v>#N/A</v>
      </c>
      <c r="H73" s="42" t="e">
        <f>LOOKUP(H$14,'Model homes'!$C$203:$C$227,'Model homes'!$F$203:$F$227)*H62</f>
        <v>#N/A</v>
      </c>
      <c r="J73" s="213" t="s">
        <v>22</v>
      </c>
      <c r="L73" s="207" t="s">
        <v>536</v>
      </c>
      <c r="M73" s="159" t="e">
        <f>LOOKUP(E$14,'Model homes'!$C$351:$C$375,'Model homes'!$E$351:$E$375)*M62</f>
        <v>#DIV/0!</v>
      </c>
      <c r="N73" s="159" t="e">
        <f>LOOKUP(F$14,'Model homes'!$C$351:$C$375,'Model homes'!$E$351:$E$375)*N62</f>
        <v>#DIV/0!</v>
      </c>
      <c r="O73" s="159" t="e">
        <f>LOOKUP(G$14,'Model homes'!$C$351:$C$375,'Model homes'!$E$351:$E$375)*O62</f>
        <v>#DIV/0!</v>
      </c>
      <c r="P73" s="159" t="e">
        <f>LOOKUP(H$14,'Model homes'!$C$351:$C$375,'Model homes'!$E$351:$E$375)*P62</f>
        <v>#DIV/0!</v>
      </c>
      <c r="R73" s="213" t="s">
        <v>22</v>
      </c>
      <c r="T73" s="207" t="s">
        <v>536</v>
      </c>
      <c r="U73" s="159" t="e">
        <f>LOOKUP(E$14,'Model homes'!$C$351:$C$375,'Model homes'!$F$351:$F$375)*U62</f>
        <v>#DIV/0!</v>
      </c>
      <c r="V73" s="159" t="e">
        <f>LOOKUP(F$14,'Model homes'!$C$351:$C$375,'Model homes'!$F$351:$F$375)*V62</f>
        <v>#DIV/0!</v>
      </c>
      <c r="W73" s="159" t="e">
        <f>LOOKUP(G$14,'Model homes'!$C$351:$C$375,'Model homes'!$F$351:$F$375)*W62</f>
        <v>#DIV/0!</v>
      </c>
      <c r="X73" s="159" t="e">
        <f>LOOKUP(H$14,'Model homes'!$C$351:$C$375,'Model homes'!$F$351:$F$375)*X62</f>
        <v>#DIV/0!</v>
      </c>
      <c r="Z73" s="213" t="s">
        <v>22</v>
      </c>
      <c r="AB73" s="207" t="s">
        <v>536</v>
      </c>
      <c r="AC73" s="159" t="e">
        <f>LOOKUP(E$14,'Model homes'!$C$351:$C$375,'Model homes'!$G$351:$G$375)*AC62</f>
        <v>#DIV/0!</v>
      </c>
      <c r="AD73" s="159" t="e">
        <f>LOOKUP(F$14,'Model homes'!$C$351:$C$375,'Model homes'!$G$351:$G$375)*AD62</f>
        <v>#DIV/0!</v>
      </c>
      <c r="AE73" s="159" t="e">
        <f>LOOKUP(G$14,'Model homes'!$C$351:$C$375,'Model homes'!$G$351:$G$375)*AE62</f>
        <v>#DIV/0!</v>
      </c>
      <c r="AF73" s="159" t="e">
        <f>LOOKUP(H$14,'Model homes'!$C$351:$C$375,'Model homes'!$G$351:$G$375)*AF62</f>
        <v>#DIV/0!</v>
      </c>
      <c r="AH73" s="213" t="s">
        <v>22</v>
      </c>
      <c r="AJ73" s="207" t="s">
        <v>536</v>
      </c>
      <c r="AK73" s="159" t="e">
        <f>LOOKUP(E$14,'Model homes'!$C$351:$C$375,'Model homes'!$H$351:$H$375)*AK62</f>
        <v>#DIV/0!</v>
      </c>
      <c r="AL73" s="159" t="e">
        <f>LOOKUP(F$14,'Model homes'!$C$351:$C$375,'Model homes'!$H$351:$H$375)*AL62</f>
        <v>#DIV/0!</v>
      </c>
      <c r="AM73" s="159" t="e">
        <f>LOOKUP(G$14,'Model homes'!$C$351:$C$375,'Model homes'!$H$351:$H$375)*AM62</f>
        <v>#DIV/0!</v>
      </c>
      <c r="AN73" s="159" t="e">
        <f>LOOKUP(H$14,'Model homes'!$C$351:$C$375,'Model homes'!$H$351:$H$375)*AN62</f>
        <v>#DIV/0!</v>
      </c>
    </row>
    <row r="75" spans="3:40" x14ac:dyDescent="0.3">
      <c r="C75" s="195" t="s">
        <v>303</v>
      </c>
      <c r="D75" s="17" t="s">
        <v>301</v>
      </c>
      <c r="E75" s="231">
        <f>'Model homes'!E$170</f>
        <v>0.03</v>
      </c>
    </row>
    <row r="77" spans="3:40" x14ac:dyDescent="0.3">
      <c r="C77" s="51" t="s">
        <v>537</v>
      </c>
      <c r="E77" s="209"/>
      <c r="J77" s="229" t="s">
        <v>538</v>
      </c>
    </row>
    <row r="78" spans="3:40" x14ac:dyDescent="0.3">
      <c r="C78" s="209" t="s">
        <v>14</v>
      </c>
      <c r="D78" s="207" t="s">
        <v>536</v>
      </c>
      <c r="E78" s="159" t="e">
        <f t="shared" ref="E78:E86" si="3">M65+U65+AC65+AK65</f>
        <v>#DIV/0!</v>
      </c>
      <c r="F78" s="159" t="e">
        <f t="shared" ref="F78:F86" si="4">N65+V65+AD65+AL65</f>
        <v>#DIV/0!</v>
      </c>
      <c r="G78" s="159" t="e">
        <f t="shared" ref="G78:G86" si="5">O65+W65+AE65+AM65</f>
        <v>#DIV/0!</v>
      </c>
      <c r="H78" s="159" t="e">
        <f t="shared" ref="H78:H86" si="6">P65+X65+AF65+AN65</f>
        <v>#DIV/0!</v>
      </c>
      <c r="J78" s="230">
        <f>(1-(((1+'Model homes'!$E159)/(1+E$75))^E$14))/(E$75-'Model homes'!$E159)</f>
        <v>2.8985052991278306</v>
      </c>
    </row>
    <row r="79" spans="3:40" x14ac:dyDescent="0.3">
      <c r="C79" s="213" t="s">
        <v>15</v>
      </c>
      <c r="D79" s="207" t="s">
        <v>536</v>
      </c>
      <c r="E79" s="42">
        <f t="shared" si="3"/>
        <v>1.7886175459517646</v>
      </c>
      <c r="F79" s="42">
        <f t="shared" si="4"/>
        <v>1.6608591498123531</v>
      </c>
      <c r="G79" s="42">
        <f t="shared" si="5"/>
        <v>1.9435672543095754</v>
      </c>
      <c r="H79" s="42">
        <f t="shared" si="6"/>
        <v>1.8602715148391655</v>
      </c>
      <c r="J79" s="230">
        <f>(1-(((1+'Model homes'!$E160)/(1+E$75))^E$14))/(E$75-'Model homes'!$E160)</f>
        <v>2.8844349961152265</v>
      </c>
    </row>
    <row r="80" spans="3:40" x14ac:dyDescent="0.3">
      <c r="C80" s="210" t="s">
        <v>16</v>
      </c>
      <c r="D80" s="207" t="s">
        <v>536</v>
      </c>
      <c r="E80" s="42">
        <f t="shared" si="3"/>
        <v>1.4532517560858089</v>
      </c>
      <c r="F80" s="42">
        <f t="shared" si="4"/>
        <v>1.3840492915102942</v>
      </c>
      <c r="G80" s="42">
        <f t="shared" si="5"/>
        <v>1.5880366590090438</v>
      </c>
      <c r="H80" s="42">
        <f t="shared" si="6"/>
        <v>1.5502262623659708</v>
      </c>
      <c r="J80" s="230">
        <f>(1-(((1+'Model homes'!$E161)/(1+E$75))^E$14))/(E$75-'Model homes'!$E161)</f>
        <v>2.8985052991278306</v>
      </c>
    </row>
    <row r="81" spans="2:19" x14ac:dyDescent="0.3">
      <c r="C81" s="210" t="s">
        <v>17</v>
      </c>
      <c r="D81" s="207" t="s">
        <v>536</v>
      </c>
      <c r="E81" s="42">
        <f t="shared" si="3"/>
        <v>1.9588309695327002</v>
      </c>
      <c r="F81" s="42">
        <f t="shared" si="4"/>
        <v>1.8189144717089361</v>
      </c>
      <c r="G81" s="42">
        <f t="shared" si="5"/>
        <v>2.1940195563351463</v>
      </c>
      <c r="H81" s="42">
        <f t="shared" si="6"/>
        <v>2.0373038737397793</v>
      </c>
      <c r="J81" s="230">
        <f>(1-(((1+'Model homes'!$E162)/(1+E$75))^E$14))/(E$75-'Model homes'!$E162)</f>
        <v>2.8985052991278306</v>
      </c>
    </row>
    <row r="82" spans="2:19" x14ac:dyDescent="0.3">
      <c r="C82" s="210" t="s">
        <v>18</v>
      </c>
      <c r="D82" s="207" t="s">
        <v>536</v>
      </c>
      <c r="E82" s="42">
        <f t="shared" si="3"/>
        <v>2.8459268689271315</v>
      </c>
      <c r="F82" s="42">
        <f t="shared" si="4"/>
        <v>2.6785194060490651</v>
      </c>
      <c r="G82" s="42">
        <f t="shared" si="5"/>
        <v>3.1876253252292384</v>
      </c>
      <c r="H82" s="42">
        <f t="shared" si="6"/>
        <v>3.0001179531569306</v>
      </c>
      <c r="J82" s="230">
        <f>(1-(((1+'Model homes'!$E163)/(1+E$75))^E$14))/(E$75-'Model homes'!$E163)</f>
        <v>2.8985052991278306</v>
      </c>
    </row>
    <row r="83" spans="2:19" x14ac:dyDescent="0.3">
      <c r="C83" s="210" t="s">
        <v>19</v>
      </c>
      <c r="D83" s="207" t="s">
        <v>536</v>
      </c>
      <c r="E83" s="42">
        <f t="shared" si="3"/>
        <v>2.8459268689271315</v>
      </c>
      <c r="F83" s="42">
        <f t="shared" si="4"/>
        <v>2.6473738315601234</v>
      </c>
      <c r="G83" s="42">
        <f t="shared" si="5"/>
        <v>3.1876253252292384</v>
      </c>
      <c r="H83" s="42">
        <f t="shared" si="6"/>
        <v>2.9652328606783618</v>
      </c>
      <c r="J83" s="230">
        <f>(1-(((1+'Model homes'!$E164)/(1+E$75))^E$14))/(E$75-'Model homes'!$E164)</f>
        <v>2.8985052991278306</v>
      </c>
    </row>
    <row r="84" spans="2:19" x14ac:dyDescent="0.3">
      <c r="C84" s="213" t="s">
        <v>20</v>
      </c>
      <c r="D84" s="207" t="s">
        <v>536</v>
      </c>
      <c r="E84" s="42">
        <f t="shared" si="3"/>
        <v>0.3756540433652561</v>
      </c>
      <c r="F84" s="42">
        <f t="shared" si="4"/>
        <v>0.36701831823042264</v>
      </c>
      <c r="G84" s="42">
        <f t="shared" si="5"/>
        <v>0.41108466236006214</v>
      </c>
      <c r="H84" s="42">
        <f t="shared" si="6"/>
        <v>0.41108466236006214</v>
      </c>
      <c r="J84" s="230">
        <f>(1-(((1+'Model homes'!$E165)/(1+E$75))^E$14))/(E$75-'Model homes'!$E165)</f>
        <v>2.9097944866380918</v>
      </c>
    </row>
    <row r="85" spans="2:19" x14ac:dyDescent="0.3">
      <c r="C85" s="213" t="s">
        <v>21</v>
      </c>
      <c r="D85" s="207" t="s">
        <v>536</v>
      </c>
      <c r="E85" s="159" t="e">
        <f t="shared" si="3"/>
        <v>#DIV/0!</v>
      </c>
      <c r="F85" s="159" t="e">
        <f t="shared" si="4"/>
        <v>#DIV/0!</v>
      </c>
      <c r="G85" s="159" t="e">
        <f t="shared" si="5"/>
        <v>#DIV/0!</v>
      </c>
      <c r="H85" s="159" t="e">
        <f t="shared" si="6"/>
        <v>#DIV/0!</v>
      </c>
      <c r="J85" s="230">
        <f>(1-(((1+'Model homes'!$E166)/(1+E$75))^E$14))/(E$75-'Model homes'!$E166)</f>
        <v>2.8985052991278306</v>
      </c>
    </row>
    <row r="86" spans="2:19" x14ac:dyDescent="0.3">
      <c r="C86" s="213" t="s">
        <v>22</v>
      </c>
      <c r="D86" s="207" t="s">
        <v>536</v>
      </c>
      <c r="E86" s="159" t="e">
        <f t="shared" si="3"/>
        <v>#DIV/0!</v>
      </c>
      <c r="F86" s="159" t="e">
        <f t="shared" si="4"/>
        <v>#DIV/0!</v>
      </c>
      <c r="G86" s="159" t="e">
        <f t="shared" si="5"/>
        <v>#DIV/0!</v>
      </c>
      <c r="H86" s="159" t="e">
        <f t="shared" si="6"/>
        <v>#DIV/0!</v>
      </c>
      <c r="J86" s="230">
        <f>(1-(((1+'Model homes'!$E167)/(1+E$75))^E$14))/(E$75-'Model homes'!$E167)</f>
        <v>2.8985052991278306</v>
      </c>
    </row>
    <row r="87" spans="2:19" x14ac:dyDescent="0.3">
      <c r="C87" s="36"/>
      <c r="D87" s="96"/>
      <c r="E87" s="55"/>
      <c r="F87" s="55"/>
      <c r="G87" s="55"/>
      <c r="H87" s="55"/>
      <c r="R87" s="42"/>
      <c r="S87" s="99"/>
    </row>
    <row r="88" spans="2:19" ht="20.25" x14ac:dyDescent="0.35">
      <c r="C88" s="81" t="s">
        <v>734</v>
      </c>
    </row>
    <row r="89" spans="2:19" s="18" customFormat="1" ht="17.25" thickBot="1" x14ac:dyDescent="0.35">
      <c r="B89" s="233" t="s">
        <v>153</v>
      </c>
      <c r="C89" s="19" t="s">
        <v>154</v>
      </c>
      <c r="D89" s="19" t="s">
        <v>32</v>
      </c>
      <c r="E89" s="19" t="s">
        <v>155</v>
      </c>
      <c r="F89" s="19"/>
      <c r="G89" s="19" t="s">
        <v>155</v>
      </c>
      <c r="H89" s="19"/>
      <c r="I89" s="19"/>
      <c r="J89" s="56" t="s">
        <v>156</v>
      </c>
      <c r="K89" s="56"/>
    </row>
    <row r="90" spans="2:19" s="30" customFormat="1" ht="18" thickTop="1" thickBot="1" x14ac:dyDescent="0.35">
      <c r="B90" s="234"/>
      <c r="C90" s="29" t="s">
        <v>157</v>
      </c>
      <c r="D90" s="29"/>
      <c r="E90" s="335" t="s">
        <v>5</v>
      </c>
      <c r="F90" s="335"/>
      <c r="G90" s="335" t="s">
        <v>6</v>
      </c>
      <c r="H90" s="335"/>
      <c r="I90" s="28"/>
      <c r="J90" s="28"/>
      <c r="K90" s="57"/>
      <c r="M90" s="20"/>
    </row>
    <row r="91" spans="2:19" ht="18" thickTop="1" thickBot="1" x14ac:dyDescent="0.35">
      <c r="B91" s="233"/>
      <c r="C91" s="29" t="s">
        <v>158</v>
      </c>
      <c r="D91" s="29"/>
      <c r="E91" s="29" t="s">
        <v>7</v>
      </c>
      <c r="F91" s="29" t="s">
        <v>8</v>
      </c>
      <c r="G91" s="29" t="s">
        <v>7</v>
      </c>
      <c r="H91" s="29" t="s">
        <v>8</v>
      </c>
      <c r="I91" s="19"/>
      <c r="J91" s="19"/>
      <c r="K91" s="56"/>
      <c r="M91" s="82"/>
      <c r="N91" s="82"/>
    </row>
    <row r="92" spans="2:19" ht="17.25" thickTop="1" x14ac:dyDescent="0.3">
      <c r="C92" s="20" t="s">
        <v>14</v>
      </c>
      <c r="D92" s="20" t="s">
        <v>540</v>
      </c>
      <c r="E92" s="38">
        <f>'Campaign Input'!$G$12*'Data Input'!B$9*'Data Input'!B16</f>
        <v>0</v>
      </c>
      <c r="F92" s="38">
        <f>'Campaign Input'!$G$12*'Data Input'!C$9*'Data Input'!C16</f>
        <v>0</v>
      </c>
      <c r="G92" s="38">
        <f>'Campaign Input'!$G$12*'Data Input'!D$9*'Data Input'!D16</f>
        <v>0</v>
      </c>
      <c r="H92" s="38">
        <f>'Campaign Input'!$G$12*'Data Input'!E$9*'Data Input'!E16</f>
        <v>0</v>
      </c>
    </row>
    <row r="93" spans="2:19" x14ac:dyDescent="0.3">
      <c r="C93" s="14" t="s">
        <v>15</v>
      </c>
      <c r="D93" s="20" t="s">
        <v>540</v>
      </c>
      <c r="E93" s="38">
        <f>'Campaign Input'!$G$12*'Data Input'!B$9*'Data Input'!B17</f>
        <v>0</v>
      </c>
      <c r="F93" s="38">
        <f>'Campaign Input'!$G$12*'Data Input'!C$9*'Data Input'!C17</f>
        <v>0</v>
      </c>
      <c r="G93" s="38">
        <f>'Campaign Input'!$G$12*'Data Input'!D$9*'Data Input'!D17</f>
        <v>0</v>
      </c>
      <c r="H93" s="38">
        <f>'Campaign Input'!$G$12*'Data Input'!E$9*'Data Input'!E17</f>
        <v>0</v>
      </c>
    </row>
    <row r="94" spans="2:19" x14ac:dyDescent="0.3">
      <c r="C94" s="15" t="s">
        <v>16</v>
      </c>
      <c r="D94" s="20" t="s">
        <v>540</v>
      </c>
      <c r="E94" s="38">
        <f>'Campaign Input'!$G$12*'Data Input'!B$9*'Data Input'!B18</f>
        <v>0</v>
      </c>
      <c r="F94" s="38">
        <f>'Campaign Input'!$G$12*'Data Input'!C$9*'Data Input'!C18</f>
        <v>0</v>
      </c>
      <c r="G94" s="38">
        <f>'Campaign Input'!$G$12*'Data Input'!D$9*'Data Input'!D18</f>
        <v>0</v>
      </c>
      <c r="H94" s="38">
        <f>'Campaign Input'!$G$12*'Data Input'!E$9*'Data Input'!E18</f>
        <v>0</v>
      </c>
    </row>
    <row r="95" spans="2:19" x14ac:dyDescent="0.3">
      <c r="C95" s="15" t="s">
        <v>17</v>
      </c>
      <c r="D95" s="20" t="s">
        <v>540</v>
      </c>
      <c r="E95" s="38">
        <f>'Campaign Input'!$G$12*'Data Input'!B$9*'Data Input'!B19</f>
        <v>0</v>
      </c>
      <c r="F95" s="38">
        <f>'Campaign Input'!$G$12*'Data Input'!C$9*'Data Input'!C19</f>
        <v>0</v>
      </c>
      <c r="G95" s="38">
        <f>'Campaign Input'!$G$12*'Data Input'!D$9*'Data Input'!D19</f>
        <v>0</v>
      </c>
      <c r="H95" s="38">
        <f>'Campaign Input'!$G$12*'Data Input'!E$9*'Data Input'!E19</f>
        <v>0</v>
      </c>
    </row>
    <row r="96" spans="2:19" x14ac:dyDescent="0.3">
      <c r="C96" s="15" t="s">
        <v>18</v>
      </c>
      <c r="D96" s="20" t="s">
        <v>540</v>
      </c>
      <c r="E96" s="38">
        <f>'Campaign Input'!$G$12*'Data Input'!B$9*'Data Input'!B20</f>
        <v>0</v>
      </c>
      <c r="F96" s="38">
        <f>'Campaign Input'!$G$12*'Data Input'!C$9*'Data Input'!C20</f>
        <v>0</v>
      </c>
      <c r="G96" s="38">
        <f>'Campaign Input'!$G$12*'Data Input'!D$9*'Data Input'!D20</f>
        <v>0</v>
      </c>
      <c r="H96" s="38">
        <f>'Campaign Input'!$G$12*'Data Input'!E$9*'Data Input'!E20</f>
        <v>0</v>
      </c>
    </row>
    <row r="97" spans="3:10" x14ac:dyDescent="0.3">
      <c r="C97" s="15" t="s">
        <v>19</v>
      </c>
      <c r="D97" s="20" t="s">
        <v>540</v>
      </c>
      <c r="E97" s="38">
        <f>'Campaign Input'!$G$12*'Data Input'!B$9*'Data Input'!B21</f>
        <v>0</v>
      </c>
      <c r="F97" s="38">
        <f>'Campaign Input'!$G$12*'Data Input'!C$9*'Data Input'!C21</f>
        <v>0</v>
      </c>
      <c r="G97" s="38">
        <f>'Campaign Input'!$G$12*'Data Input'!D$9*'Data Input'!D21</f>
        <v>0</v>
      </c>
      <c r="H97" s="38">
        <f>'Campaign Input'!$G$12*'Data Input'!E$9*'Data Input'!E21</f>
        <v>0</v>
      </c>
    </row>
    <row r="98" spans="3:10" x14ac:dyDescent="0.3">
      <c r="C98" s="14" t="s">
        <v>20</v>
      </c>
      <c r="D98" s="20" t="s">
        <v>540</v>
      </c>
      <c r="E98" s="38">
        <f>'Campaign Input'!$G$12*'Data Input'!B$9*'Data Input'!B22</f>
        <v>0</v>
      </c>
      <c r="F98" s="38">
        <f>'Campaign Input'!$G$12*'Data Input'!C$9*'Data Input'!C22</f>
        <v>0</v>
      </c>
      <c r="G98" s="38">
        <f>'Campaign Input'!$G$12*'Data Input'!D$9*'Data Input'!D22</f>
        <v>0</v>
      </c>
      <c r="H98" s="38">
        <f>'Campaign Input'!$G$12*'Data Input'!E$9*'Data Input'!E22</f>
        <v>0</v>
      </c>
    </row>
    <row r="99" spans="3:10" x14ac:dyDescent="0.3">
      <c r="C99" s="14" t="s">
        <v>21</v>
      </c>
      <c r="D99" s="20" t="s">
        <v>540</v>
      </c>
      <c r="E99" s="38">
        <f>'Campaign Input'!$G$12*'Data Input'!B$9*'Data Input'!B23</f>
        <v>0</v>
      </c>
      <c r="F99" s="38">
        <f>'Campaign Input'!$G$12*'Data Input'!C$9*'Data Input'!C23</f>
        <v>0</v>
      </c>
      <c r="G99" s="38">
        <f>'Campaign Input'!$G$12*'Data Input'!D$9*'Data Input'!D23</f>
        <v>0</v>
      </c>
      <c r="H99" s="38">
        <f>'Campaign Input'!$G$12*'Data Input'!E$9*'Data Input'!E23</f>
        <v>0</v>
      </c>
    </row>
    <row r="100" spans="3:10" x14ac:dyDescent="0.3">
      <c r="C100" s="14" t="s">
        <v>22</v>
      </c>
      <c r="D100" s="20" t="s">
        <v>540</v>
      </c>
      <c r="E100" s="38">
        <f>'Campaign Input'!$G$12*'Data Input'!B$9*'Data Input'!B24</f>
        <v>0</v>
      </c>
      <c r="F100" s="38">
        <f>'Campaign Input'!$G$12*'Data Input'!C$9*'Data Input'!C24</f>
        <v>0</v>
      </c>
      <c r="G100" s="38">
        <f>'Campaign Input'!$G$12*'Data Input'!D$9*'Data Input'!D24</f>
        <v>0</v>
      </c>
      <c r="H100" s="38">
        <f>'Campaign Input'!$G$12*'Data Input'!E$9*'Data Input'!E24</f>
        <v>0</v>
      </c>
    </row>
    <row r="102" spans="3:10" x14ac:dyDescent="0.3">
      <c r="C102" s="51" t="s">
        <v>541</v>
      </c>
      <c r="D102" s="207"/>
      <c r="E102" s="208"/>
    </row>
    <row r="103" spans="3:10" x14ac:dyDescent="0.3">
      <c r="C103" s="209" t="s">
        <v>14</v>
      </c>
      <c r="D103" s="210" t="s">
        <v>542</v>
      </c>
      <c r="E103" s="42">
        <f t="shared" ref="E103:E111" si="7">E92*E21*E$14</f>
        <v>0</v>
      </c>
      <c r="F103" s="42">
        <f t="shared" ref="F103:H103" si="8">F92*F21*F$14</f>
        <v>0</v>
      </c>
      <c r="G103" s="42">
        <f t="shared" si="8"/>
        <v>0</v>
      </c>
      <c r="H103" s="42">
        <f t="shared" si="8"/>
        <v>0</v>
      </c>
    </row>
    <row r="104" spans="3:10" x14ac:dyDescent="0.3">
      <c r="C104" s="213" t="s">
        <v>15</v>
      </c>
      <c r="D104" s="210" t="s">
        <v>542</v>
      </c>
      <c r="E104" s="42">
        <f t="shared" si="7"/>
        <v>0</v>
      </c>
      <c r="F104" s="42">
        <f t="shared" ref="F104:H111" si="9">F93*F22*F$14</f>
        <v>0</v>
      </c>
      <c r="G104" s="42">
        <f t="shared" si="9"/>
        <v>0</v>
      </c>
      <c r="H104" s="42">
        <f t="shared" si="9"/>
        <v>0</v>
      </c>
    </row>
    <row r="105" spans="3:10" x14ac:dyDescent="0.3">
      <c r="C105" s="210" t="s">
        <v>16</v>
      </c>
      <c r="D105" s="210" t="s">
        <v>542</v>
      </c>
      <c r="E105" s="42">
        <f t="shared" si="7"/>
        <v>0</v>
      </c>
      <c r="F105" s="42">
        <f t="shared" si="9"/>
        <v>0</v>
      </c>
      <c r="G105" s="42">
        <f t="shared" si="9"/>
        <v>0</v>
      </c>
      <c r="H105" s="42">
        <f t="shared" si="9"/>
        <v>0</v>
      </c>
    </row>
    <row r="106" spans="3:10" x14ac:dyDescent="0.3">
      <c r="C106" s="210" t="s">
        <v>17</v>
      </c>
      <c r="D106" s="210" t="s">
        <v>542</v>
      </c>
      <c r="E106" s="42">
        <f t="shared" si="7"/>
        <v>0</v>
      </c>
      <c r="F106" s="42">
        <f t="shared" si="9"/>
        <v>0</v>
      </c>
      <c r="G106" s="42">
        <f t="shared" si="9"/>
        <v>0</v>
      </c>
      <c r="H106" s="42">
        <f t="shared" si="9"/>
        <v>0</v>
      </c>
    </row>
    <row r="107" spans="3:10" x14ac:dyDescent="0.3">
      <c r="C107" s="210" t="s">
        <v>18</v>
      </c>
      <c r="D107" s="210" t="s">
        <v>542</v>
      </c>
      <c r="E107" s="42">
        <f t="shared" si="7"/>
        <v>0</v>
      </c>
      <c r="F107" s="42">
        <f t="shared" si="9"/>
        <v>0</v>
      </c>
      <c r="G107" s="42">
        <f t="shared" si="9"/>
        <v>0</v>
      </c>
      <c r="H107" s="42">
        <f t="shared" si="9"/>
        <v>0</v>
      </c>
    </row>
    <row r="108" spans="3:10" x14ac:dyDescent="0.3">
      <c r="C108" s="210" t="s">
        <v>19</v>
      </c>
      <c r="D108" s="210" t="s">
        <v>542</v>
      </c>
      <c r="E108" s="42">
        <f t="shared" si="7"/>
        <v>0</v>
      </c>
      <c r="F108" s="42">
        <f t="shared" si="9"/>
        <v>0</v>
      </c>
      <c r="G108" s="42">
        <f t="shared" si="9"/>
        <v>0</v>
      </c>
      <c r="H108" s="42">
        <f t="shared" si="9"/>
        <v>0</v>
      </c>
    </row>
    <row r="109" spans="3:10" x14ac:dyDescent="0.3">
      <c r="C109" s="213" t="s">
        <v>20</v>
      </c>
      <c r="D109" s="210" t="s">
        <v>542</v>
      </c>
      <c r="E109" s="42">
        <f t="shared" si="7"/>
        <v>0</v>
      </c>
      <c r="F109" s="42">
        <f t="shared" si="9"/>
        <v>0</v>
      </c>
      <c r="G109" s="42">
        <f t="shared" si="9"/>
        <v>0</v>
      </c>
      <c r="H109" s="42">
        <f t="shared" si="9"/>
        <v>0</v>
      </c>
    </row>
    <row r="110" spans="3:10" x14ac:dyDescent="0.3">
      <c r="C110" s="213" t="s">
        <v>21</v>
      </c>
      <c r="D110" s="210" t="s">
        <v>542</v>
      </c>
      <c r="E110" s="42">
        <f t="shared" si="7"/>
        <v>0</v>
      </c>
      <c r="F110" s="42">
        <f t="shared" si="9"/>
        <v>0</v>
      </c>
      <c r="G110" s="42">
        <f t="shared" si="9"/>
        <v>0</v>
      </c>
      <c r="H110" s="42">
        <f t="shared" si="9"/>
        <v>0</v>
      </c>
    </row>
    <row r="111" spans="3:10" x14ac:dyDescent="0.3">
      <c r="C111" s="213" t="s">
        <v>22</v>
      </c>
      <c r="D111" s="210" t="s">
        <v>542</v>
      </c>
      <c r="E111" s="42">
        <f t="shared" si="7"/>
        <v>0</v>
      </c>
      <c r="F111" s="42">
        <f t="shared" si="9"/>
        <v>0</v>
      </c>
      <c r="G111" s="42">
        <f t="shared" si="9"/>
        <v>0</v>
      </c>
      <c r="H111" s="42">
        <f t="shared" si="9"/>
        <v>0</v>
      </c>
      <c r="J111" s="45"/>
    </row>
    <row r="112" spans="3:10" x14ac:dyDescent="0.3">
      <c r="C112" s="216" t="s">
        <v>54</v>
      </c>
      <c r="D112" s="210" t="s">
        <v>542</v>
      </c>
      <c r="E112" s="45">
        <f>SUM(E103:E111)</f>
        <v>0</v>
      </c>
      <c r="F112" s="45">
        <f>SUM(F103:F111)</f>
        <v>0</v>
      </c>
      <c r="G112" s="45">
        <f>SUM(G103:G111)</f>
        <v>0</v>
      </c>
      <c r="H112" s="45">
        <f>SUM(H103:H111)</f>
        <v>0</v>
      </c>
      <c r="J112" s="45">
        <f>SUM(E112:H112)</f>
        <v>0</v>
      </c>
    </row>
    <row r="113" spans="3:14" x14ac:dyDescent="0.3">
      <c r="C113" s="209"/>
      <c r="D113" s="210"/>
      <c r="E113" s="42"/>
    </row>
    <row r="114" spans="3:14" x14ac:dyDescent="0.3">
      <c r="C114" s="51" t="s">
        <v>726</v>
      </c>
      <c r="D114" s="207"/>
      <c r="E114" s="208"/>
      <c r="F114" s="208"/>
      <c r="G114" s="208"/>
      <c r="H114" s="208"/>
      <c r="J114" s="51"/>
      <c r="N114" s="169"/>
    </row>
    <row r="115" spans="3:14" x14ac:dyDescent="0.3">
      <c r="C115" s="209" t="s">
        <v>14</v>
      </c>
      <c r="D115" s="210" t="s">
        <v>69</v>
      </c>
      <c r="E115" s="211" t="e">
        <f>E43*$J43*E92</f>
        <v>#VALUE!</v>
      </c>
      <c r="F115" s="211" t="e">
        <f t="shared" ref="F115:H115" si="10">F43*$J43*F92</f>
        <v>#VALUE!</v>
      </c>
      <c r="G115" s="211" t="e">
        <f t="shared" si="10"/>
        <v>#VALUE!</v>
      </c>
      <c r="H115" s="211" t="e">
        <f t="shared" si="10"/>
        <v>#VALUE!</v>
      </c>
      <c r="J115" s="212"/>
    </row>
    <row r="116" spans="3:14" x14ac:dyDescent="0.3">
      <c r="C116" s="213" t="s">
        <v>15</v>
      </c>
      <c r="D116" s="210" t="s">
        <v>69</v>
      </c>
      <c r="E116" s="211" t="e">
        <f t="shared" ref="E116:H123" si="11">E44*$J44*E93</f>
        <v>#VALUE!</v>
      </c>
      <c r="F116" s="211" t="e">
        <f t="shared" si="11"/>
        <v>#VALUE!</v>
      </c>
      <c r="G116" s="211" t="e">
        <f t="shared" si="11"/>
        <v>#VALUE!</v>
      </c>
      <c r="H116" s="211" t="e">
        <f t="shared" si="11"/>
        <v>#VALUE!</v>
      </c>
      <c r="J116" s="212"/>
    </row>
    <row r="117" spans="3:14" x14ac:dyDescent="0.3">
      <c r="C117" s="210" t="s">
        <v>16</v>
      </c>
      <c r="D117" s="210" t="s">
        <v>69</v>
      </c>
      <c r="E117" s="211" t="e">
        <f t="shared" si="11"/>
        <v>#VALUE!</v>
      </c>
      <c r="F117" s="211" t="e">
        <f t="shared" si="11"/>
        <v>#VALUE!</v>
      </c>
      <c r="G117" s="211" t="e">
        <f t="shared" si="11"/>
        <v>#VALUE!</v>
      </c>
      <c r="H117" s="211" t="e">
        <f t="shared" si="11"/>
        <v>#VALUE!</v>
      </c>
      <c r="J117" s="212"/>
    </row>
    <row r="118" spans="3:14" x14ac:dyDescent="0.3">
      <c r="C118" s="210" t="s">
        <v>17</v>
      </c>
      <c r="D118" s="210" t="s">
        <v>69</v>
      </c>
      <c r="E118" s="211" t="e">
        <f t="shared" si="11"/>
        <v>#VALUE!</v>
      </c>
      <c r="F118" s="211" t="e">
        <f t="shared" si="11"/>
        <v>#VALUE!</v>
      </c>
      <c r="G118" s="211" t="e">
        <f t="shared" si="11"/>
        <v>#VALUE!</v>
      </c>
      <c r="H118" s="211" t="e">
        <f t="shared" si="11"/>
        <v>#VALUE!</v>
      </c>
      <c r="J118" s="212"/>
    </row>
    <row r="119" spans="3:14" x14ac:dyDescent="0.3">
      <c r="C119" s="210" t="s">
        <v>18</v>
      </c>
      <c r="D119" s="210" t="s">
        <v>69</v>
      </c>
      <c r="E119" s="211" t="e">
        <f t="shared" si="11"/>
        <v>#VALUE!</v>
      </c>
      <c r="F119" s="211" t="e">
        <f t="shared" si="11"/>
        <v>#VALUE!</v>
      </c>
      <c r="G119" s="211" t="e">
        <f t="shared" si="11"/>
        <v>#VALUE!</v>
      </c>
      <c r="H119" s="211" t="e">
        <f t="shared" si="11"/>
        <v>#VALUE!</v>
      </c>
      <c r="J119" s="212"/>
    </row>
    <row r="120" spans="3:14" x14ac:dyDescent="0.3">
      <c r="C120" s="210" t="s">
        <v>19</v>
      </c>
      <c r="D120" s="210" t="s">
        <v>69</v>
      </c>
      <c r="E120" s="211" t="e">
        <f t="shared" si="11"/>
        <v>#VALUE!</v>
      </c>
      <c r="F120" s="211" t="e">
        <f t="shared" si="11"/>
        <v>#VALUE!</v>
      </c>
      <c r="G120" s="211" t="e">
        <f t="shared" si="11"/>
        <v>#VALUE!</v>
      </c>
      <c r="H120" s="211" t="e">
        <f t="shared" si="11"/>
        <v>#VALUE!</v>
      </c>
      <c r="J120" s="212"/>
    </row>
    <row r="121" spans="3:14" ht="15.95" customHeight="1" x14ac:dyDescent="0.3">
      <c r="C121" s="213" t="s">
        <v>20</v>
      </c>
      <c r="D121" s="210" t="s">
        <v>69</v>
      </c>
      <c r="E121" s="211" t="e">
        <f t="shared" si="11"/>
        <v>#VALUE!</v>
      </c>
      <c r="F121" s="211" t="e">
        <f t="shared" si="11"/>
        <v>#VALUE!</v>
      </c>
      <c r="G121" s="211" t="e">
        <f t="shared" si="11"/>
        <v>#VALUE!</v>
      </c>
      <c r="H121" s="211" t="e">
        <f t="shared" si="11"/>
        <v>#VALUE!</v>
      </c>
      <c r="J121" s="212"/>
    </row>
    <row r="122" spans="3:14" ht="15.95" customHeight="1" x14ac:dyDescent="0.3">
      <c r="C122" s="213" t="s">
        <v>21</v>
      </c>
      <c r="D122" s="210" t="s">
        <v>69</v>
      </c>
      <c r="E122" s="211" t="e">
        <f t="shared" si="11"/>
        <v>#VALUE!</v>
      </c>
      <c r="F122" s="211" t="e">
        <f t="shared" si="11"/>
        <v>#VALUE!</v>
      </c>
      <c r="G122" s="211" t="e">
        <f t="shared" si="11"/>
        <v>#VALUE!</v>
      </c>
      <c r="H122" s="211" t="e">
        <f t="shared" si="11"/>
        <v>#VALUE!</v>
      </c>
      <c r="J122" s="212"/>
      <c r="L122" s="17" t="s">
        <v>478</v>
      </c>
    </row>
    <row r="123" spans="3:14" x14ac:dyDescent="0.3">
      <c r="C123" s="213" t="s">
        <v>22</v>
      </c>
      <c r="D123" s="210" t="s">
        <v>69</v>
      </c>
      <c r="E123" s="211" t="e">
        <f t="shared" si="11"/>
        <v>#VALUE!</v>
      </c>
      <c r="F123" s="211" t="e">
        <f t="shared" si="11"/>
        <v>#VALUE!</v>
      </c>
      <c r="G123" s="211" t="e">
        <f t="shared" si="11"/>
        <v>#VALUE!</v>
      </c>
      <c r="H123" s="211" t="e">
        <f t="shared" si="11"/>
        <v>#VALUE!</v>
      </c>
      <c r="J123" s="212"/>
      <c r="L123" s="214" t="e">
        <f>AVERAGE(E115:H123)</f>
        <v>#VALUE!</v>
      </c>
    </row>
    <row r="124" spans="3:14" x14ac:dyDescent="0.3">
      <c r="C124" s="216" t="s">
        <v>54</v>
      </c>
      <c r="D124" s="210" t="s">
        <v>69</v>
      </c>
      <c r="E124" s="45" t="e">
        <f>SUM(E115:E123)</f>
        <v>#VALUE!</v>
      </c>
      <c r="F124" s="45" t="e">
        <f>SUM(F115:F123)</f>
        <v>#VALUE!</v>
      </c>
      <c r="G124" s="45" t="e">
        <f>SUM(G115:G123)</f>
        <v>#VALUE!</v>
      </c>
      <c r="H124" s="45" t="e">
        <f>SUM(H115:H123)</f>
        <v>#VALUE!</v>
      </c>
      <c r="J124" s="45" t="e">
        <f>SUM(E124:H124)</f>
        <v>#VALUE!</v>
      </c>
      <c r="L124" s="214"/>
    </row>
    <row r="125" spans="3:14" x14ac:dyDescent="0.3">
      <c r="C125" s="209"/>
      <c r="D125" s="210"/>
      <c r="E125" s="42"/>
      <c r="F125" s="211"/>
      <c r="G125" s="42"/>
      <c r="H125" s="42"/>
      <c r="J125" s="26"/>
    </row>
    <row r="126" spans="3:14" x14ac:dyDescent="0.3">
      <c r="C126" s="51" t="s">
        <v>522</v>
      </c>
      <c r="D126" s="84"/>
      <c r="E126" s="91"/>
    </row>
    <row r="127" spans="3:14" x14ac:dyDescent="0.3">
      <c r="C127" s="20" t="s">
        <v>14</v>
      </c>
      <c r="D127" s="84" t="s">
        <v>527</v>
      </c>
      <c r="E127" s="42" t="e">
        <f t="shared" ref="E127:H135" si="12">E92*E54</f>
        <v>#VALUE!</v>
      </c>
      <c r="F127" s="42" t="e">
        <f t="shared" si="12"/>
        <v>#VALUE!</v>
      </c>
      <c r="G127" s="42" t="e">
        <f t="shared" si="12"/>
        <v>#VALUE!</v>
      </c>
      <c r="H127" s="42" t="e">
        <f t="shared" si="12"/>
        <v>#VALUE!</v>
      </c>
    </row>
    <row r="128" spans="3:14" x14ac:dyDescent="0.3">
      <c r="C128" s="14" t="s">
        <v>15</v>
      </c>
      <c r="D128" s="84" t="s">
        <v>527</v>
      </c>
      <c r="E128" s="42">
        <f t="shared" si="12"/>
        <v>0</v>
      </c>
      <c r="F128" s="42">
        <f t="shared" si="12"/>
        <v>0</v>
      </c>
      <c r="G128" s="42">
        <f t="shared" si="12"/>
        <v>0</v>
      </c>
      <c r="H128" s="42">
        <f t="shared" si="12"/>
        <v>0</v>
      </c>
    </row>
    <row r="129" spans="3:10" x14ac:dyDescent="0.3">
      <c r="C129" s="15" t="s">
        <v>16</v>
      </c>
      <c r="D129" s="84" t="s">
        <v>527</v>
      </c>
      <c r="E129" s="42">
        <f t="shared" si="12"/>
        <v>0</v>
      </c>
      <c r="F129" s="42">
        <f t="shared" si="12"/>
        <v>0</v>
      </c>
      <c r="G129" s="42">
        <f t="shared" si="12"/>
        <v>0</v>
      </c>
      <c r="H129" s="42">
        <f t="shared" si="12"/>
        <v>0</v>
      </c>
    </row>
    <row r="130" spans="3:10" x14ac:dyDescent="0.3">
      <c r="C130" s="15" t="s">
        <v>17</v>
      </c>
      <c r="D130" s="84" t="s">
        <v>527</v>
      </c>
      <c r="E130" s="42">
        <f t="shared" si="12"/>
        <v>0</v>
      </c>
      <c r="F130" s="42">
        <f t="shared" si="12"/>
        <v>0</v>
      </c>
      <c r="G130" s="42">
        <f t="shared" si="12"/>
        <v>0</v>
      </c>
      <c r="H130" s="42">
        <f t="shared" si="12"/>
        <v>0</v>
      </c>
    </row>
    <row r="131" spans="3:10" x14ac:dyDescent="0.3">
      <c r="C131" s="15" t="s">
        <v>18</v>
      </c>
      <c r="D131" s="84" t="s">
        <v>527</v>
      </c>
      <c r="E131" s="42">
        <f t="shared" si="12"/>
        <v>0</v>
      </c>
      <c r="F131" s="42">
        <f t="shared" si="12"/>
        <v>0</v>
      </c>
      <c r="G131" s="42">
        <f t="shared" si="12"/>
        <v>0</v>
      </c>
      <c r="H131" s="42">
        <f t="shared" si="12"/>
        <v>0</v>
      </c>
    </row>
    <row r="132" spans="3:10" x14ac:dyDescent="0.3">
      <c r="C132" s="15" t="s">
        <v>19</v>
      </c>
      <c r="D132" s="84" t="s">
        <v>527</v>
      </c>
      <c r="E132" s="42">
        <f t="shared" si="12"/>
        <v>0</v>
      </c>
      <c r="F132" s="42">
        <f t="shared" si="12"/>
        <v>0</v>
      </c>
      <c r="G132" s="42">
        <f t="shared" si="12"/>
        <v>0</v>
      </c>
      <c r="H132" s="42">
        <f t="shared" si="12"/>
        <v>0</v>
      </c>
    </row>
    <row r="133" spans="3:10" x14ac:dyDescent="0.3">
      <c r="C133" s="14" t="s">
        <v>20</v>
      </c>
      <c r="D133" s="84" t="s">
        <v>527</v>
      </c>
      <c r="E133" s="42">
        <f t="shared" si="12"/>
        <v>0</v>
      </c>
      <c r="F133" s="42">
        <f t="shared" si="12"/>
        <v>0</v>
      </c>
      <c r="G133" s="42">
        <f t="shared" si="12"/>
        <v>0</v>
      </c>
      <c r="H133" s="42">
        <f t="shared" si="12"/>
        <v>0</v>
      </c>
    </row>
    <row r="134" spans="3:10" x14ac:dyDescent="0.3">
      <c r="C134" s="14" t="s">
        <v>21</v>
      </c>
      <c r="D134" s="84" t="s">
        <v>527</v>
      </c>
      <c r="E134" s="42" t="e">
        <f t="shared" si="12"/>
        <v>#N/A</v>
      </c>
      <c r="F134" s="42" t="e">
        <f t="shared" si="12"/>
        <v>#N/A</v>
      </c>
      <c r="G134" s="42" t="e">
        <f t="shared" si="12"/>
        <v>#N/A</v>
      </c>
      <c r="H134" s="42" t="e">
        <f t="shared" si="12"/>
        <v>#N/A</v>
      </c>
    </row>
    <row r="135" spans="3:10" x14ac:dyDescent="0.3">
      <c r="C135" s="14" t="s">
        <v>22</v>
      </c>
      <c r="D135" s="84" t="s">
        <v>527</v>
      </c>
      <c r="E135" s="42" t="e">
        <f t="shared" si="12"/>
        <v>#N/A</v>
      </c>
      <c r="F135" s="42" t="e">
        <f t="shared" si="12"/>
        <v>#N/A</v>
      </c>
      <c r="G135" s="42" t="e">
        <f t="shared" si="12"/>
        <v>#N/A</v>
      </c>
      <c r="H135" s="42" t="e">
        <f t="shared" si="12"/>
        <v>#N/A</v>
      </c>
    </row>
    <row r="136" spans="3:10" x14ac:dyDescent="0.3">
      <c r="C136" s="102" t="s">
        <v>54</v>
      </c>
      <c r="D136" s="133" t="s">
        <v>527</v>
      </c>
      <c r="E136" s="45" t="e">
        <f>SUM(E127:E135)</f>
        <v>#VALUE!</v>
      </c>
      <c r="F136" s="45" t="e">
        <f t="shared" ref="F136:H136" si="13">SUM(F127:F135)</f>
        <v>#VALUE!</v>
      </c>
      <c r="G136" s="45" t="e">
        <f t="shared" si="13"/>
        <v>#VALUE!</v>
      </c>
      <c r="H136" s="45" t="e">
        <f t="shared" si="13"/>
        <v>#VALUE!</v>
      </c>
      <c r="J136" s="45" t="e">
        <f>SUM(E136:H136)</f>
        <v>#VALUE!</v>
      </c>
    </row>
    <row r="137" spans="3:10" x14ac:dyDescent="0.3">
      <c r="C137" s="20"/>
      <c r="E137" s="42"/>
    </row>
    <row r="138" spans="3:10" x14ac:dyDescent="0.3">
      <c r="C138" s="51" t="s">
        <v>544</v>
      </c>
      <c r="D138" s="207"/>
      <c r="E138" s="208"/>
    </row>
    <row r="139" spans="3:10" x14ac:dyDescent="0.3">
      <c r="C139" s="209" t="s">
        <v>14</v>
      </c>
      <c r="D139" s="207" t="s">
        <v>605</v>
      </c>
      <c r="E139" s="97" t="e">
        <f>E127*E$14</f>
        <v>#VALUE!</v>
      </c>
      <c r="F139" s="97" t="e">
        <f t="shared" ref="F139:H139" si="14">F127*F$14</f>
        <v>#VALUE!</v>
      </c>
      <c r="G139" s="97" t="e">
        <f t="shared" si="14"/>
        <v>#VALUE!</v>
      </c>
      <c r="H139" s="97" t="e">
        <f t="shared" si="14"/>
        <v>#VALUE!</v>
      </c>
    </row>
    <row r="140" spans="3:10" x14ac:dyDescent="0.3">
      <c r="C140" s="213" t="s">
        <v>15</v>
      </c>
      <c r="D140" s="207" t="s">
        <v>605</v>
      </c>
      <c r="E140" s="97">
        <f t="shared" ref="E140:H147" si="15">E128*E$14</f>
        <v>0</v>
      </c>
      <c r="F140" s="97">
        <f t="shared" si="15"/>
        <v>0</v>
      </c>
      <c r="G140" s="97">
        <f t="shared" si="15"/>
        <v>0</v>
      </c>
      <c r="H140" s="97">
        <f t="shared" si="15"/>
        <v>0</v>
      </c>
    </row>
    <row r="141" spans="3:10" x14ac:dyDescent="0.3">
      <c r="C141" s="210" t="s">
        <v>16</v>
      </c>
      <c r="D141" s="207" t="s">
        <v>605</v>
      </c>
      <c r="E141" s="97">
        <f t="shared" si="15"/>
        <v>0</v>
      </c>
      <c r="F141" s="97">
        <f t="shared" si="15"/>
        <v>0</v>
      </c>
      <c r="G141" s="97">
        <f t="shared" si="15"/>
        <v>0</v>
      </c>
      <c r="H141" s="97">
        <f t="shared" si="15"/>
        <v>0</v>
      </c>
    </row>
    <row r="142" spans="3:10" x14ac:dyDescent="0.3">
      <c r="C142" s="210" t="s">
        <v>17</v>
      </c>
      <c r="D142" s="207" t="s">
        <v>605</v>
      </c>
      <c r="E142" s="97">
        <f t="shared" si="15"/>
        <v>0</v>
      </c>
      <c r="F142" s="97">
        <f t="shared" si="15"/>
        <v>0</v>
      </c>
      <c r="G142" s="97">
        <f t="shared" si="15"/>
        <v>0</v>
      </c>
      <c r="H142" s="97">
        <f t="shared" si="15"/>
        <v>0</v>
      </c>
    </row>
    <row r="143" spans="3:10" x14ac:dyDescent="0.3">
      <c r="C143" s="210" t="s">
        <v>18</v>
      </c>
      <c r="D143" s="207" t="s">
        <v>605</v>
      </c>
      <c r="E143" s="97">
        <f t="shared" si="15"/>
        <v>0</v>
      </c>
      <c r="F143" s="97">
        <f t="shared" si="15"/>
        <v>0</v>
      </c>
      <c r="G143" s="97">
        <f t="shared" si="15"/>
        <v>0</v>
      </c>
      <c r="H143" s="97">
        <f t="shared" si="15"/>
        <v>0</v>
      </c>
    </row>
    <row r="144" spans="3:10" x14ac:dyDescent="0.3">
      <c r="C144" s="210" t="s">
        <v>19</v>
      </c>
      <c r="D144" s="207" t="s">
        <v>605</v>
      </c>
      <c r="E144" s="97">
        <f t="shared" si="15"/>
        <v>0</v>
      </c>
      <c r="F144" s="97">
        <f t="shared" si="15"/>
        <v>0</v>
      </c>
      <c r="G144" s="97">
        <f t="shared" si="15"/>
        <v>0</v>
      </c>
      <c r="H144" s="97">
        <f t="shared" si="15"/>
        <v>0</v>
      </c>
    </row>
    <row r="145" spans="3:10" x14ac:dyDescent="0.3">
      <c r="C145" s="213" t="s">
        <v>20</v>
      </c>
      <c r="D145" s="207" t="s">
        <v>605</v>
      </c>
      <c r="E145" s="97">
        <f t="shared" si="15"/>
        <v>0</v>
      </c>
      <c r="F145" s="97">
        <f t="shared" si="15"/>
        <v>0</v>
      </c>
      <c r="G145" s="97">
        <f t="shared" si="15"/>
        <v>0</v>
      </c>
      <c r="H145" s="97">
        <f t="shared" si="15"/>
        <v>0</v>
      </c>
    </row>
    <row r="146" spans="3:10" x14ac:dyDescent="0.3">
      <c r="C146" s="213" t="s">
        <v>21</v>
      </c>
      <c r="D146" s="207" t="s">
        <v>605</v>
      </c>
      <c r="E146" s="97" t="e">
        <f>E134*E$14</f>
        <v>#N/A</v>
      </c>
      <c r="F146" s="97" t="e">
        <f t="shared" si="15"/>
        <v>#N/A</v>
      </c>
      <c r="G146" s="97" t="e">
        <f t="shared" si="15"/>
        <v>#N/A</v>
      </c>
      <c r="H146" s="97" t="e">
        <f t="shared" si="15"/>
        <v>#N/A</v>
      </c>
    </row>
    <row r="147" spans="3:10" x14ac:dyDescent="0.3">
      <c r="C147" s="213" t="s">
        <v>22</v>
      </c>
      <c r="D147" s="207" t="s">
        <v>605</v>
      </c>
      <c r="E147" s="97" t="e">
        <f t="shared" si="15"/>
        <v>#N/A</v>
      </c>
      <c r="F147" s="97" t="e">
        <f t="shared" si="15"/>
        <v>#N/A</v>
      </c>
      <c r="G147" s="97" t="e">
        <f t="shared" si="15"/>
        <v>#N/A</v>
      </c>
      <c r="H147" s="97" t="e">
        <f t="shared" si="15"/>
        <v>#N/A</v>
      </c>
    </row>
    <row r="148" spans="3:10" x14ac:dyDescent="0.3">
      <c r="C148" s="216" t="s">
        <v>54</v>
      </c>
      <c r="D148" s="218" t="s">
        <v>605</v>
      </c>
      <c r="E148" s="217" t="e">
        <f>SUM(E139:E147)</f>
        <v>#VALUE!</v>
      </c>
      <c r="F148" s="217" t="e">
        <f>SUM(F139:F147)</f>
        <v>#VALUE!</v>
      </c>
      <c r="G148" s="217" t="e">
        <f>SUM(G139:G147)</f>
        <v>#VALUE!</v>
      </c>
      <c r="H148" s="217" t="e">
        <f>SUM(H139:H147)</f>
        <v>#VALUE!</v>
      </c>
      <c r="J148" s="217" t="e">
        <f>SUM(E148:H148)</f>
        <v>#VALUE!</v>
      </c>
    </row>
    <row r="149" spans="3:10" x14ac:dyDescent="0.3">
      <c r="C149" s="221"/>
      <c r="D149" s="222"/>
      <c r="E149" s="223"/>
      <c r="F149" s="223"/>
      <c r="G149" s="223"/>
      <c r="H149" s="223"/>
      <c r="J149" s="223"/>
    </row>
    <row r="150" spans="3:10" x14ac:dyDescent="0.3">
      <c r="C150" s="51" t="s">
        <v>313</v>
      </c>
      <c r="E150" s="91"/>
    </row>
    <row r="151" spans="3:10" x14ac:dyDescent="0.3">
      <c r="C151" s="20" t="s">
        <v>14</v>
      </c>
      <c r="D151" s="84" t="s">
        <v>272</v>
      </c>
      <c r="E151" s="42" t="e">
        <f t="shared" ref="E151:H159" si="16">E92*E65</f>
        <v>#VALUE!</v>
      </c>
      <c r="F151" s="42" t="e">
        <f t="shared" si="16"/>
        <v>#VALUE!</v>
      </c>
      <c r="G151" s="42" t="e">
        <f t="shared" si="16"/>
        <v>#VALUE!</v>
      </c>
      <c r="H151" s="42" t="e">
        <f t="shared" si="16"/>
        <v>#VALUE!</v>
      </c>
    </row>
    <row r="152" spans="3:10" x14ac:dyDescent="0.3">
      <c r="C152" s="14" t="s">
        <v>15</v>
      </c>
      <c r="D152" s="15" t="s">
        <v>272</v>
      </c>
      <c r="E152" s="42">
        <f t="shared" si="16"/>
        <v>0</v>
      </c>
      <c r="F152" s="42">
        <f t="shared" si="16"/>
        <v>0</v>
      </c>
      <c r="G152" s="42">
        <f t="shared" si="16"/>
        <v>0</v>
      </c>
      <c r="H152" s="42">
        <f t="shared" si="16"/>
        <v>0</v>
      </c>
    </row>
    <row r="153" spans="3:10" x14ac:dyDescent="0.3">
      <c r="C153" s="15" t="s">
        <v>16</v>
      </c>
      <c r="D153" s="15" t="s">
        <v>272</v>
      </c>
      <c r="E153" s="42">
        <f t="shared" si="16"/>
        <v>0</v>
      </c>
      <c r="F153" s="42">
        <f t="shared" si="16"/>
        <v>0</v>
      </c>
      <c r="G153" s="42">
        <f t="shared" si="16"/>
        <v>0</v>
      </c>
      <c r="H153" s="42">
        <f t="shared" si="16"/>
        <v>0</v>
      </c>
    </row>
    <row r="154" spans="3:10" x14ac:dyDescent="0.3">
      <c r="C154" s="15" t="s">
        <v>17</v>
      </c>
      <c r="D154" s="15" t="s">
        <v>272</v>
      </c>
      <c r="E154" s="42">
        <f t="shared" si="16"/>
        <v>0</v>
      </c>
      <c r="F154" s="42">
        <f t="shared" si="16"/>
        <v>0</v>
      </c>
      <c r="G154" s="42">
        <f t="shared" si="16"/>
        <v>0</v>
      </c>
      <c r="H154" s="42">
        <f t="shared" si="16"/>
        <v>0</v>
      </c>
    </row>
    <row r="155" spans="3:10" x14ac:dyDescent="0.3">
      <c r="C155" s="15" t="s">
        <v>18</v>
      </c>
      <c r="D155" s="15" t="s">
        <v>272</v>
      </c>
      <c r="E155" s="42">
        <f t="shared" si="16"/>
        <v>0</v>
      </c>
      <c r="F155" s="42">
        <f t="shared" si="16"/>
        <v>0</v>
      </c>
      <c r="G155" s="42">
        <f t="shared" si="16"/>
        <v>0</v>
      </c>
      <c r="H155" s="42">
        <f t="shared" si="16"/>
        <v>0</v>
      </c>
    </row>
    <row r="156" spans="3:10" x14ac:dyDescent="0.3">
      <c r="C156" s="15" t="s">
        <v>19</v>
      </c>
      <c r="D156" s="15" t="s">
        <v>272</v>
      </c>
      <c r="E156" s="42">
        <f t="shared" si="16"/>
        <v>0</v>
      </c>
      <c r="F156" s="42">
        <f t="shared" si="16"/>
        <v>0</v>
      </c>
      <c r="G156" s="42">
        <f t="shared" si="16"/>
        <v>0</v>
      </c>
      <c r="H156" s="42">
        <f t="shared" si="16"/>
        <v>0</v>
      </c>
    </row>
    <row r="157" spans="3:10" x14ac:dyDescent="0.3">
      <c r="C157" s="14" t="s">
        <v>20</v>
      </c>
      <c r="D157" s="15" t="s">
        <v>272</v>
      </c>
      <c r="E157" s="42">
        <f t="shared" si="16"/>
        <v>0</v>
      </c>
      <c r="F157" s="42">
        <f t="shared" si="16"/>
        <v>0</v>
      </c>
      <c r="G157" s="42">
        <f t="shared" si="16"/>
        <v>0</v>
      </c>
      <c r="H157" s="42">
        <f t="shared" si="16"/>
        <v>0</v>
      </c>
    </row>
    <row r="158" spans="3:10" x14ac:dyDescent="0.3">
      <c r="C158" s="14" t="s">
        <v>21</v>
      </c>
      <c r="D158" s="15" t="s">
        <v>272</v>
      </c>
      <c r="E158" s="42" t="e">
        <f t="shared" si="16"/>
        <v>#N/A</v>
      </c>
      <c r="F158" s="42" t="e">
        <f t="shared" si="16"/>
        <v>#N/A</v>
      </c>
      <c r="G158" s="42" t="e">
        <f t="shared" si="16"/>
        <v>#N/A</v>
      </c>
      <c r="H158" s="42" t="e">
        <f t="shared" si="16"/>
        <v>#N/A</v>
      </c>
    </row>
    <row r="159" spans="3:10" x14ac:dyDescent="0.3">
      <c r="C159" s="14" t="s">
        <v>22</v>
      </c>
      <c r="D159" s="15" t="s">
        <v>272</v>
      </c>
      <c r="E159" s="42" t="e">
        <f t="shared" si="16"/>
        <v>#N/A</v>
      </c>
      <c r="F159" s="42" t="e">
        <f t="shared" si="16"/>
        <v>#N/A</v>
      </c>
      <c r="G159" s="42" t="e">
        <f t="shared" si="16"/>
        <v>#N/A</v>
      </c>
      <c r="H159" s="42" t="e">
        <f t="shared" si="16"/>
        <v>#N/A</v>
      </c>
    </row>
    <row r="160" spans="3:10" x14ac:dyDescent="0.3">
      <c r="C160" s="102" t="s">
        <v>54</v>
      </c>
      <c r="D160" s="84" t="s">
        <v>272</v>
      </c>
      <c r="E160" s="45" t="e">
        <f>SUM(E151:E159)</f>
        <v>#VALUE!</v>
      </c>
      <c r="F160" s="45" t="e">
        <f t="shared" ref="F160:H160" si="17">SUM(F151:F159)</f>
        <v>#VALUE!</v>
      </c>
      <c r="G160" s="45" t="e">
        <f t="shared" si="17"/>
        <v>#VALUE!</v>
      </c>
      <c r="H160" s="45" t="e">
        <f t="shared" si="17"/>
        <v>#VALUE!</v>
      </c>
      <c r="J160" s="45" t="e">
        <f>SUM(E160:H160)</f>
        <v>#VALUE!</v>
      </c>
    </row>
    <row r="162" spans="3:10" x14ac:dyDescent="0.3">
      <c r="C162" s="51" t="s">
        <v>546</v>
      </c>
      <c r="E162" s="208"/>
    </row>
    <row r="163" spans="3:10" x14ac:dyDescent="0.3">
      <c r="C163" s="209" t="s">
        <v>14</v>
      </c>
      <c r="D163" s="207" t="s">
        <v>69</v>
      </c>
      <c r="E163" s="42" t="e">
        <f t="shared" ref="E163:E171" si="18">E151*$J78</f>
        <v>#VALUE!</v>
      </c>
      <c r="F163" s="42" t="e">
        <f t="shared" ref="F163:H163" si="19">F151*$J78</f>
        <v>#VALUE!</v>
      </c>
      <c r="G163" s="42" t="e">
        <f t="shared" si="19"/>
        <v>#VALUE!</v>
      </c>
      <c r="H163" s="42" t="e">
        <f t="shared" si="19"/>
        <v>#VALUE!</v>
      </c>
    </row>
    <row r="164" spans="3:10" x14ac:dyDescent="0.3">
      <c r="C164" s="213" t="s">
        <v>15</v>
      </c>
      <c r="D164" s="207" t="s">
        <v>69</v>
      </c>
      <c r="E164" s="42">
        <f t="shared" si="18"/>
        <v>0</v>
      </c>
      <c r="F164" s="42">
        <f t="shared" ref="F164:H171" si="20">F152*$J79</f>
        <v>0</v>
      </c>
      <c r="G164" s="42">
        <f t="shared" si="20"/>
        <v>0</v>
      </c>
      <c r="H164" s="42">
        <f t="shared" si="20"/>
        <v>0</v>
      </c>
    </row>
    <row r="165" spans="3:10" x14ac:dyDescent="0.3">
      <c r="C165" s="210" t="s">
        <v>16</v>
      </c>
      <c r="D165" s="207" t="s">
        <v>69</v>
      </c>
      <c r="E165" s="42">
        <f t="shared" si="18"/>
        <v>0</v>
      </c>
      <c r="F165" s="42">
        <f t="shared" si="20"/>
        <v>0</v>
      </c>
      <c r="G165" s="42">
        <f t="shared" si="20"/>
        <v>0</v>
      </c>
      <c r="H165" s="42">
        <f t="shared" si="20"/>
        <v>0</v>
      </c>
    </row>
    <row r="166" spans="3:10" x14ac:dyDescent="0.3">
      <c r="C166" s="210" t="s">
        <v>17</v>
      </c>
      <c r="D166" s="207" t="s">
        <v>69</v>
      </c>
      <c r="E166" s="42">
        <f t="shared" si="18"/>
        <v>0</v>
      </c>
      <c r="F166" s="42">
        <f t="shared" si="20"/>
        <v>0</v>
      </c>
      <c r="G166" s="42">
        <f t="shared" si="20"/>
        <v>0</v>
      </c>
      <c r="H166" s="42">
        <f t="shared" si="20"/>
        <v>0</v>
      </c>
    </row>
    <row r="167" spans="3:10" x14ac:dyDescent="0.3">
      <c r="C167" s="210" t="s">
        <v>18</v>
      </c>
      <c r="D167" s="207" t="s">
        <v>69</v>
      </c>
      <c r="E167" s="42">
        <f t="shared" si="18"/>
        <v>0</v>
      </c>
      <c r="F167" s="42">
        <f t="shared" si="20"/>
        <v>0</v>
      </c>
      <c r="G167" s="42">
        <f t="shared" si="20"/>
        <v>0</v>
      </c>
      <c r="H167" s="42">
        <f t="shared" si="20"/>
        <v>0</v>
      </c>
    </row>
    <row r="168" spans="3:10" x14ac:dyDescent="0.3">
      <c r="C168" s="210" t="s">
        <v>19</v>
      </c>
      <c r="D168" s="207" t="s">
        <v>69</v>
      </c>
      <c r="E168" s="42">
        <f t="shared" si="18"/>
        <v>0</v>
      </c>
      <c r="F168" s="42">
        <f t="shared" si="20"/>
        <v>0</v>
      </c>
      <c r="G168" s="42">
        <f t="shared" si="20"/>
        <v>0</v>
      </c>
      <c r="H168" s="42">
        <f t="shared" si="20"/>
        <v>0</v>
      </c>
    </row>
    <row r="169" spans="3:10" x14ac:dyDescent="0.3">
      <c r="C169" s="213" t="s">
        <v>20</v>
      </c>
      <c r="D169" s="207" t="s">
        <v>69</v>
      </c>
      <c r="E169" s="42">
        <f t="shared" si="18"/>
        <v>0</v>
      </c>
      <c r="F169" s="42">
        <f t="shared" si="20"/>
        <v>0</v>
      </c>
      <c r="G169" s="42">
        <f t="shared" si="20"/>
        <v>0</v>
      </c>
      <c r="H169" s="42">
        <f t="shared" si="20"/>
        <v>0</v>
      </c>
    </row>
    <row r="170" spans="3:10" x14ac:dyDescent="0.3">
      <c r="C170" s="213" t="s">
        <v>21</v>
      </c>
      <c r="D170" s="207" t="s">
        <v>69</v>
      </c>
      <c r="E170" s="42" t="e">
        <f t="shared" si="18"/>
        <v>#N/A</v>
      </c>
      <c r="F170" s="42" t="e">
        <f t="shared" si="20"/>
        <v>#N/A</v>
      </c>
      <c r="G170" s="42" t="e">
        <f t="shared" si="20"/>
        <v>#N/A</v>
      </c>
      <c r="H170" s="42" t="e">
        <f t="shared" si="20"/>
        <v>#N/A</v>
      </c>
    </row>
    <row r="171" spans="3:10" x14ac:dyDescent="0.3">
      <c r="C171" s="213" t="s">
        <v>22</v>
      </c>
      <c r="D171" s="207" t="s">
        <v>69</v>
      </c>
      <c r="E171" s="42" t="e">
        <f t="shared" si="18"/>
        <v>#N/A</v>
      </c>
      <c r="F171" s="42" t="e">
        <f t="shared" si="20"/>
        <v>#N/A</v>
      </c>
      <c r="G171" s="42" t="e">
        <f t="shared" si="20"/>
        <v>#N/A</v>
      </c>
      <c r="H171" s="42" t="e">
        <f t="shared" si="20"/>
        <v>#N/A</v>
      </c>
    </row>
    <row r="172" spans="3:10" x14ac:dyDescent="0.3">
      <c r="C172" s="216" t="s">
        <v>54</v>
      </c>
      <c r="D172" s="207" t="s">
        <v>69</v>
      </c>
      <c r="E172" s="45" t="e">
        <f>SUM(E163:E171)</f>
        <v>#VALUE!</v>
      </c>
      <c r="F172" s="45" t="e">
        <f>SUM(F163:F171)</f>
        <v>#VALUE!</v>
      </c>
      <c r="G172" s="45" t="e">
        <f>SUM(G163:G171)</f>
        <v>#VALUE!</v>
      </c>
      <c r="H172" s="45" t="e">
        <f>SUM(H163:H171)</f>
        <v>#VALUE!</v>
      </c>
      <c r="J172" s="45" t="e">
        <f>SUM(E172:H172)</f>
        <v>#VALUE!</v>
      </c>
    </row>
    <row r="174" spans="3:10" x14ac:dyDescent="0.3">
      <c r="C174" s="51" t="s">
        <v>547</v>
      </c>
    </row>
    <row r="175" spans="3:10" x14ac:dyDescent="0.3">
      <c r="C175" s="209" t="s">
        <v>14</v>
      </c>
      <c r="D175" s="207" t="s">
        <v>548</v>
      </c>
      <c r="E175" s="160" t="e">
        <f t="shared" ref="E175:E183" si="21">E92*(M54+U54+AC54+AK54)</f>
        <v>#DIV/0!</v>
      </c>
      <c r="F175" s="160" t="e">
        <f t="shared" ref="F175:F183" si="22">F92*(N54+V54+AD54+AL54)</f>
        <v>#DIV/0!</v>
      </c>
      <c r="G175" s="160" t="e">
        <f t="shared" ref="G175:G183" si="23">G92*(O54+W54+AE54+AM54)</f>
        <v>#DIV/0!</v>
      </c>
      <c r="H175" s="160" t="e">
        <f t="shared" ref="H175:H183" si="24">H92*(P54+X54+AF54+AN54)</f>
        <v>#DIV/0!</v>
      </c>
    </row>
    <row r="176" spans="3:10" x14ac:dyDescent="0.3">
      <c r="C176" s="213" t="s">
        <v>15</v>
      </c>
      <c r="D176" s="207" t="s">
        <v>548</v>
      </c>
      <c r="E176" s="130">
        <f t="shared" si="21"/>
        <v>0</v>
      </c>
      <c r="F176" s="130">
        <f t="shared" si="22"/>
        <v>0</v>
      </c>
      <c r="G176" s="130">
        <f t="shared" si="23"/>
        <v>0</v>
      </c>
      <c r="H176" s="130">
        <f t="shared" si="24"/>
        <v>0</v>
      </c>
    </row>
    <row r="177" spans="3:10" x14ac:dyDescent="0.3">
      <c r="C177" s="210" t="s">
        <v>16</v>
      </c>
      <c r="D177" s="207" t="s">
        <v>548</v>
      </c>
      <c r="E177" s="130">
        <f t="shared" si="21"/>
        <v>0</v>
      </c>
      <c r="F177" s="130">
        <f t="shared" si="22"/>
        <v>0</v>
      </c>
      <c r="G177" s="130">
        <f t="shared" si="23"/>
        <v>0</v>
      </c>
      <c r="H177" s="130">
        <f t="shared" si="24"/>
        <v>0</v>
      </c>
    </row>
    <row r="178" spans="3:10" x14ac:dyDescent="0.3">
      <c r="C178" s="210" t="s">
        <v>17</v>
      </c>
      <c r="D178" s="207" t="s">
        <v>548</v>
      </c>
      <c r="E178" s="130">
        <f t="shared" si="21"/>
        <v>0</v>
      </c>
      <c r="F178" s="130">
        <f t="shared" si="22"/>
        <v>0</v>
      </c>
      <c r="G178" s="130">
        <f t="shared" si="23"/>
        <v>0</v>
      </c>
      <c r="H178" s="130">
        <f t="shared" si="24"/>
        <v>0</v>
      </c>
    </row>
    <row r="179" spans="3:10" x14ac:dyDescent="0.3">
      <c r="C179" s="210" t="s">
        <v>18</v>
      </c>
      <c r="D179" s="207" t="s">
        <v>548</v>
      </c>
      <c r="E179" s="130">
        <f t="shared" si="21"/>
        <v>0</v>
      </c>
      <c r="F179" s="130">
        <f t="shared" si="22"/>
        <v>0</v>
      </c>
      <c r="G179" s="130">
        <f t="shared" si="23"/>
        <v>0</v>
      </c>
      <c r="H179" s="130">
        <f t="shared" si="24"/>
        <v>0</v>
      </c>
    </row>
    <row r="180" spans="3:10" x14ac:dyDescent="0.3">
      <c r="C180" s="210" t="s">
        <v>19</v>
      </c>
      <c r="D180" s="207" t="s">
        <v>548</v>
      </c>
      <c r="E180" s="130">
        <f t="shared" si="21"/>
        <v>0</v>
      </c>
      <c r="F180" s="130">
        <f t="shared" si="22"/>
        <v>0</v>
      </c>
      <c r="G180" s="130">
        <f t="shared" si="23"/>
        <v>0</v>
      </c>
      <c r="H180" s="130">
        <f t="shared" si="24"/>
        <v>0</v>
      </c>
    </row>
    <row r="181" spans="3:10" x14ac:dyDescent="0.3">
      <c r="C181" s="213" t="s">
        <v>20</v>
      </c>
      <c r="D181" s="207" t="s">
        <v>548</v>
      </c>
      <c r="E181" s="130">
        <f t="shared" si="21"/>
        <v>0</v>
      </c>
      <c r="F181" s="130">
        <f t="shared" si="22"/>
        <v>0</v>
      </c>
      <c r="G181" s="130">
        <f t="shared" si="23"/>
        <v>0</v>
      </c>
      <c r="H181" s="130">
        <f t="shared" si="24"/>
        <v>0</v>
      </c>
    </row>
    <row r="182" spans="3:10" x14ac:dyDescent="0.3">
      <c r="C182" s="213" t="s">
        <v>21</v>
      </c>
      <c r="D182" s="207" t="s">
        <v>548</v>
      </c>
      <c r="E182" s="160" t="e">
        <f t="shared" si="21"/>
        <v>#DIV/0!</v>
      </c>
      <c r="F182" s="160" t="e">
        <f t="shared" si="22"/>
        <v>#DIV/0!</v>
      </c>
      <c r="G182" s="160" t="e">
        <f t="shared" si="23"/>
        <v>#DIV/0!</v>
      </c>
      <c r="H182" s="160" t="e">
        <f t="shared" si="24"/>
        <v>#DIV/0!</v>
      </c>
    </row>
    <row r="183" spans="3:10" x14ac:dyDescent="0.3">
      <c r="C183" s="213" t="s">
        <v>22</v>
      </c>
      <c r="D183" s="207" t="s">
        <v>548</v>
      </c>
      <c r="E183" s="160" t="e">
        <f t="shared" si="21"/>
        <v>#DIV/0!</v>
      </c>
      <c r="F183" s="160" t="e">
        <f t="shared" si="22"/>
        <v>#DIV/0!</v>
      </c>
      <c r="G183" s="160" t="e">
        <f t="shared" si="23"/>
        <v>#DIV/0!</v>
      </c>
      <c r="H183" s="160" t="e">
        <f t="shared" si="24"/>
        <v>#DIV/0!</v>
      </c>
    </row>
    <row r="184" spans="3:10" x14ac:dyDescent="0.3">
      <c r="C184" s="102" t="s">
        <v>54</v>
      </c>
      <c r="D184" s="84" t="s">
        <v>548</v>
      </c>
      <c r="E184" s="200" t="e">
        <f>SUM(E175:E183)</f>
        <v>#DIV/0!</v>
      </c>
      <c r="F184" s="200" t="e">
        <f t="shared" ref="F184:H184" si="25">SUM(F175:F183)</f>
        <v>#DIV/0!</v>
      </c>
      <c r="G184" s="200" t="e">
        <f t="shared" si="25"/>
        <v>#DIV/0!</v>
      </c>
      <c r="H184" s="200" t="e">
        <f t="shared" si="25"/>
        <v>#DIV/0!</v>
      </c>
      <c r="J184" s="200" t="e">
        <f>SUM(E184:H184)</f>
        <v>#DIV/0!</v>
      </c>
    </row>
    <row r="186" spans="3:10" x14ac:dyDescent="0.3">
      <c r="C186" s="51" t="s">
        <v>549</v>
      </c>
    </row>
    <row r="187" spans="3:10" x14ac:dyDescent="0.3">
      <c r="C187" s="209" t="s">
        <v>14</v>
      </c>
      <c r="D187" s="207" t="s">
        <v>550</v>
      </c>
      <c r="E187" s="160" t="e">
        <f>E175*$E$14</f>
        <v>#DIV/0!</v>
      </c>
      <c r="F187" s="160" t="e">
        <f t="shared" ref="F187:H187" si="26">F175*$E$14</f>
        <v>#DIV/0!</v>
      </c>
      <c r="G187" s="160" t="e">
        <f t="shared" si="26"/>
        <v>#DIV/0!</v>
      </c>
      <c r="H187" s="160" t="e">
        <f t="shared" si="26"/>
        <v>#DIV/0!</v>
      </c>
    </row>
    <row r="188" spans="3:10" x14ac:dyDescent="0.3">
      <c r="C188" s="213" t="s">
        <v>15</v>
      </c>
      <c r="D188" s="207" t="s">
        <v>550</v>
      </c>
      <c r="E188" s="130">
        <f t="shared" ref="E188:H195" si="27">E176*$E$14</f>
        <v>0</v>
      </c>
      <c r="F188" s="130">
        <f t="shared" si="27"/>
        <v>0</v>
      </c>
      <c r="G188" s="130">
        <f t="shared" si="27"/>
        <v>0</v>
      </c>
      <c r="H188" s="130">
        <f t="shared" si="27"/>
        <v>0</v>
      </c>
    </row>
    <row r="189" spans="3:10" x14ac:dyDescent="0.3">
      <c r="C189" s="210" t="s">
        <v>16</v>
      </c>
      <c r="D189" s="207" t="s">
        <v>550</v>
      </c>
      <c r="E189" s="130">
        <f t="shared" si="27"/>
        <v>0</v>
      </c>
      <c r="F189" s="130">
        <f t="shared" si="27"/>
        <v>0</v>
      </c>
      <c r="G189" s="130">
        <f t="shared" si="27"/>
        <v>0</v>
      </c>
      <c r="H189" s="130">
        <f t="shared" si="27"/>
        <v>0</v>
      </c>
    </row>
    <row r="190" spans="3:10" x14ac:dyDescent="0.3">
      <c r="C190" s="210" t="s">
        <v>17</v>
      </c>
      <c r="D190" s="207" t="s">
        <v>550</v>
      </c>
      <c r="E190" s="130">
        <f t="shared" si="27"/>
        <v>0</v>
      </c>
      <c r="F190" s="130">
        <f t="shared" si="27"/>
        <v>0</v>
      </c>
      <c r="G190" s="130">
        <f t="shared" si="27"/>
        <v>0</v>
      </c>
      <c r="H190" s="130">
        <f t="shared" si="27"/>
        <v>0</v>
      </c>
    </row>
    <row r="191" spans="3:10" x14ac:dyDescent="0.3">
      <c r="C191" s="210" t="s">
        <v>18</v>
      </c>
      <c r="D191" s="207" t="s">
        <v>550</v>
      </c>
      <c r="E191" s="130">
        <f t="shared" si="27"/>
        <v>0</v>
      </c>
      <c r="F191" s="130">
        <f t="shared" si="27"/>
        <v>0</v>
      </c>
      <c r="G191" s="130">
        <f t="shared" si="27"/>
        <v>0</v>
      </c>
      <c r="H191" s="130">
        <f t="shared" si="27"/>
        <v>0</v>
      </c>
    </row>
    <row r="192" spans="3:10" x14ac:dyDescent="0.3">
      <c r="C192" s="210" t="s">
        <v>19</v>
      </c>
      <c r="D192" s="207" t="s">
        <v>550</v>
      </c>
      <c r="E192" s="130">
        <f t="shared" si="27"/>
        <v>0</v>
      </c>
      <c r="F192" s="130">
        <f t="shared" si="27"/>
        <v>0</v>
      </c>
      <c r="G192" s="130">
        <f t="shared" si="27"/>
        <v>0</v>
      </c>
      <c r="H192" s="130">
        <f t="shared" si="27"/>
        <v>0</v>
      </c>
    </row>
    <row r="193" spans="3:10" x14ac:dyDescent="0.3">
      <c r="C193" s="213" t="s">
        <v>20</v>
      </c>
      <c r="D193" s="207" t="s">
        <v>550</v>
      </c>
      <c r="E193" s="130">
        <f t="shared" si="27"/>
        <v>0</v>
      </c>
      <c r="F193" s="130">
        <f t="shared" si="27"/>
        <v>0</v>
      </c>
      <c r="G193" s="130">
        <f t="shared" si="27"/>
        <v>0</v>
      </c>
      <c r="H193" s="130">
        <f t="shared" si="27"/>
        <v>0</v>
      </c>
    </row>
    <row r="194" spans="3:10" x14ac:dyDescent="0.3">
      <c r="C194" s="213" t="s">
        <v>21</v>
      </c>
      <c r="D194" s="207" t="s">
        <v>550</v>
      </c>
      <c r="E194" s="160" t="e">
        <f t="shared" si="27"/>
        <v>#DIV/0!</v>
      </c>
      <c r="F194" s="160" t="e">
        <f t="shared" si="27"/>
        <v>#DIV/0!</v>
      </c>
      <c r="G194" s="160" t="e">
        <f t="shared" si="27"/>
        <v>#DIV/0!</v>
      </c>
      <c r="H194" s="160" t="e">
        <f t="shared" si="27"/>
        <v>#DIV/0!</v>
      </c>
    </row>
    <row r="195" spans="3:10" x14ac:dyDescent="0.3">
      <c r="C195" s="213" t="s">
        <v>22</v>
      </c>
      <c r="D195" s="207" t="s">
        <v>550</v>
      </c>
      <c r="E195" s="160" t="e">
        <f t="shared" si="27"/>
        <v>#DIV/0!</v>
      </c>
      <c r="F195" s="160" t="e">
        <f t="shared" si="27"/>
        <v>#DIV/0!</v>
      </c>
      <c r="G195" s="160" t="e">
        <f t="shared" si="27"/>
        <v>#DIV/0!</v>
      </c>
      <c r="H195" s="160" t="e">
        <f t="shared" si="27"/>
        <v>#DIV/0!</v>
      </c>
    </row>
    <row r="196" spans="3:10" x14ac:dyDescent="0.3">
      <c r="C196" s="216" t="s">
        <v>54</v>
      </c>
      <c r="D196" s="207" t="s">
        <v>550</v>
      </c>
      <c r="E196" s="200" t="e">
        <f>SUM(E187:E195)</f>
        <v>#DIV/0!</v>
      </c>
      <c r="F196" s="200" t="e">
        <f>SUM(F187:F195)</f>
        <v>#DIV/0!</v>
      </c>
      <c r="G196" s="200" t="e">
        <f>SUM(G187:G195)</f>
        <v>#DIV/0!</v>
      </c>
      <c r="H196" s="200" t="e">
        <f>SUM(H187:H195)</f>
        <v>#DIV/0!</v>
      </c>
      <c r="J196" s="200" t="e">
        <f>SUM(E196:H196)</f>
        <v>#DIV/0!</v>
      </c>
    </row>
    <row r="198" spans="3:10" x14ac:dyDescent="0.3">
      <c r="C198" s="51" t="s">
        <v>537</v>
      </c>
      <c r="E198" s="159"/>
    </row>
    <row r="199" spans="3:10" x14ac:dyDescent="0.3">
      <c r="C199" s="209" t="s">
        <v>14</v>
      </c>
      <c r="D199" s="207" t="s">
        <v>272</v>
      </c>
      <c r="E199" s="159" t="e">
        <f t="shared" ref="E199:H207" si="28">E92*E78</f>
        <v>#DIV/0!</v>
      </c>
      <c r="F199" s="159" t="e">
        <f t="shared" si="28"/>
        <v>#DIV/0!</v>
      </c>
      <c r="G199" s="159" t="e">
        <f t="shared" si="28"/>
        <v>#DIV/0!</v>
      </c>
      <c r="H199" s="159" t="e">
        <f t="shared" si="28"/>
        <v>#DIV/0!</v>
      </c>
    </row>
    <row r="200" spans="3:10" x14ac:dyDescent="0.3">
      <c r="C200" s="213" t="s">
        <v>15</v>
      </c>
      <c r="D200" s="207" t="s">
        <v>272</v>
      </c>
      <c r="E200" s="42">
        <f t="shared" si="28"/>
        <v>0</v>
      </c>
      <c r="F200" s="42">
        <f t="shared" si="28"/>
        <v>0</v>
      </c>
      <c r="G200" s="42">
        <f t="shared" si="28"/>
        <v>0</v>
      </c>
      <c r="H200" s="42">
        <f t="shared" si="28"/>
        <v>0</v>
      </c>
    </row>
    <row r="201" spans="3:10" x14ac:dyDescent="0.3">
      <c r="C201" s="210" t="s">
        <v>16</v>
      </c>
      <c r="D201" s="207" t="s">
        <v>272</v>
      </c>
      <c r="E201" s="42">
        <f t="shared" si="28"/>
        <v>0</v>
      </c>
      <c r="F201" s="42">
        <f t="shared" si="28"/>
        <v>0</v>
      </c>
      <c r="G201" s="42">
        <f t="shared" si="28"/>
        <v>0</v>
      </c>
      <c r="H201" s="42">
        <f t="shared" si="28"/>
        <v>0</v>
      </c>
    </row>
    <row r="202" spans="3:10" x14ac:dyDescent="0.3">
      <c r="C202" s="210" t="s">
        <v>17</v>
      </c>
      <c r="D202" s="207" t="s">
        <v>272</v>
      </c>
      <c r="E202" s="42">
        <f t="shared" si="28"/>
        <v>0</v>
      </c>
      <c r="F202" s="42">
        <f t="shared" si="28"/>
        <v>0</v>
      </c>
      <c r="G202" s="42">
        <f t="shared" si="28"/>
        <v>0</v>
      </c>
      <c r="H202" s="42">
        <f t="shared" si="28"/>
        <v>0</v>
      </c>
    </row>
    <row r="203" spans="3:10" x14ac:dyDescent="0.3">
      <c r="C203" s="210" t="s">
        <v>18</v>
      </c>
      <c r="D203" s="207" t="s">
        <v>272</v>
      </c>
      <c r="E203" s="42">
        <f t="shared" si="28"/>
        <v>0</v>
      </c>
      <c r="F203" s="42">
        <f t="shared" si="28"/>
        <v>0</v>
      </c>
      <c r="G203" s="42">
        <f t="shared" si="28"/>
        <v>0</v>
      </c>
      <c r="H203" s="42">
        <f t="shared" si="28"/>
        <v>0</v>
      </c>
    </row>
    <row r="204" spans="3:10" x14ac:dyDescent="0.3">
      <c r="C204" s="210" t="s">
        <v>19</v>
      </c>
      <c r="D204" s="207" t="s">
        <v>272</v>
      </c>
      <c r="E204" s="42">
        <f t="shared" si="28"/>
        <v>0</v>
      </c>
      <c r="F204" s="42">
        <f t="shared" si="28"/>
        <v>0</v>
      </c>
      <c r="G204" s="42">
        <f t="shared" si="28"/>
        <v>0</v>
      </c>
      <c r="H204" s="42">
        <f t="shared" si="28"/>
        <v>0</v>
      </c>
    </row>
    <row r="205" spans="3:10" x14ac:dyDescent="0.3">
      <c r="C205" s="213" t="s">
        <v>20</v>
      </c>
      <c r="D205" s="207" t="s">
        <v>272</v>
      </c>
      <c r="E205" s="42">
        <f t="shared" si="28"/>
        <v>0</v>
      </c>
      <c r="F205" s="42">
        <f t="shared" si="28"/>
        <v>0</v>
      </c>
      <c r="G205" s="42">
        <f t="shared" si="28"/>
        <v>0</v>
      </c>
      <c r="H205" s="42">
        <f t="shared" si="28"/>
        <v>0</v>
      </c>
    </row>
    <row r="206" spans="3:10" x14ac:dyDescent="0.3">
      <c r="C206" s="213" t="s">
        <v>21</v>
      </c>
      <c r="D206" s="207" t="s">
        <v>272</v>
      </c>
      <c r="E206" s="159" t="e">
        <f t="shared" si="28"/>
        <v>#DIV/0!</v>
      </c>
      <c r="F206" s="159" t="e">
        <f t="shared" si="28"/>
        <v>#DIV/0!</v>
      </c>
      <c r="G206" s="159" t="e">
        <f t="shared" si="28"/>
        <v>#DIV/0!</v>
      </c>
      <c r="H206" s="159" t="e">
        <f t="shared" si="28"/>
        <v>#DIV/0!</v>
      </c>
    </row>
    <row r="207" spans="3:10" x14ac:dyDescent="0.3">
      <c r="C207" s="213" t="s">
        <v>22</v>
      </c>
      <c r="D207" s="207" t="s">
        <v>272</v>
      </c>
      <c r="E207" s="159" t="e">
        <f t="shared" si="28"/>
        <v>#DIV/0!</v>
      </c>
      <c r="F207" s="159" t="e">
        <f t="shared" si="28"/>
        <v>#DIV/0!</v>
      </c>
      <c r="G207" s="159" t="e">
        <f t="shared" si="28"/>
        <v>#DIV/0!</v>
      </c>
      <c r="H207" s="159" t="e">
        <f t="shared" si="28"/>
        <v>#DIV/0!</v>
      </c>
    </row>
    <row r="208" spans="3:10" x14ac:dyDescent="0.3">
      <c r="C208" s="102" t="s">
        <v>54</v>
      </c>
      <c r="D208" s="133" t="s">
        <v>272</v>
      </c>
      <c r="E208" s="45" t="e">
        <f>SUM(E199:E207)</f>
        <v>#DIV/0!</v>
      </c>
      <c r="F208" s="45" t="e">
        <f t="shared" ref="F208:H208" si="29">SUM(F199:F207)</f>
        <v>#DIV/0!</v>
      </c>
      <c r="G208" s="45" t="e">
        <f t="shared" si="29"/>
        <v>#DIV/0!</v>
      </c>
      <c r="H208" s="45" t="e">
        <f t="shared" si="29"/>
        <v>#DIV/0!</v>
      </c>
      <c r="J208" s="45" t="e">
        <f>SUM(E208:H208)</f>
        <v>#DIV/0!</v>
      </c>
    </row>
    <row r="210" spans="3:10" x14ac:dyDescent="0.3">
      <c r="C210" s="51" t="s">
        <v>551</v>
      </c>
    </row>
    <row r="211" spans="3:10" x14ac:dyDescent="0.3">
      <c r="C211" s="209" t="s">
        <v>14</v>
      </c>
      <c r="D211" s="207" t="s">
        <v>69</v>
      </c>
      <c r="E211" s="159" t="e">
        <f t="shared" ref="E211:E219" si="30">E199*$J78</f>
        <v>#DIV/0!</v>
      </c>
      <c r="F211" s="159" t="e">
        <f t="shared" ref="F211:H211" si="31">F199*$J78</f>
        <v>#DIV/0!</v>
      </c>
      <c r="G211" s="159" t="e">
        <f t="shared" si="31"/>
        <v>#DIV/0!</v>
      </c>
      <c r="H211" s="159" t="e">
        <f t="shared" si="31"/>
        <v>#DIV/0!</v>
      </c>
    </row>
    <row r="212" spans="3:10" x14ac:dyDescent="0.3">
      <c r="C212" s="213" t="s">
        <v>15</v>
      </c>
      <c r="D212" s="207" t="s">
        <v>69</v>
      </c>
      <c r="E212" s="42">
        <f t="shared" si="30"/>
        <v>0</v>
      </c>
      <c r="F212" s="42">
        <f t="shared" ref="F212:H219" si="32">F200*$J79</f>
        <v>0</v>
      </c>
      <c r="G212" s="42">
        <f t="shared" si="32"/>
        <v>0</v>
      </c>
      <c r="H212" s="42">
        <f t="shared" si="32"/>
        <v>0</v>
      </c>
    </row>
    <row r="213" spans="3:10" x14ac:dyDescent="0.3">
      <c r="C213" s="210" t="s">
        <v>16</v>
      </c>
      <c r="D213" s="207" t="s">
        <v>69</v>
      </c>
      <c r="E213" s="42">
        <f t="shared" si="30"/>
        <v>0</v>
      </c>
      <c r="F213" s="42">
        <f t="shared" si="32"/>
        <v>0</v>
      </c>
      <c r="G213" s="42">
        <f t="shared" si="32"/>
        <v>0</v>
      </c>
      <c r="H213" s="42">
        <f t="shared" si="32"/>
        <v>0</v>
      </c>
    </row>
    <row r="214" spans="3:10" x14ac:dyDescent="0.3">
      <c r="C214" s="210" t="s">
        <v>17</v>
      </c>
      <c r="D214" s="207" t="s">
        <v>69</v>
      </c>
      <c r="E214" s="42">
        <f t="shared" si="30"/>
        <v>0</v>
      </c>
      <c r="F214" s="42">
        <f t="shared" si="32"/>
        <v>0</v>
      </c>
      <c r="G214" s="42">
        <f t="shared" si="32"/>
        <v>0</v>
      </c>
      <c r="H214" s="42">
        <f t="shared" si="32"/>
        <v>0</v>
      </c>
    </row>
    <row r="215" spans="3:10" x14ac:dyDescent="0.3">
      <c r="C215" s="210" t="s">
        <v>18</v>
      </c>
      <c r="D215" s="207" t="s">
        <v>69</v>
      </c>
      <c r="E215" s="42">
        <f t="shared" si="30"/>
        <v>0</v>
      </c>
      <c r="F215" s="42">
        <f t="shared" si="32"/>
        <v>0</v>
      </c>
      <c r="G215" s="42">
        <f t="shared" si="32"/>
        <v>0</v>
      </c>
      <c r="H215" s="42">
        <f t="shared" si="32"/>
        <v>0</v>
      </c>
    </row>
    <row r="216" spans="3:10" x14ac:dyDescent="0.3">
      <c r="C216" s="210" t="s">
        <v>19</v>
      </c>
      <c r="D216" s="207" t="s">
        <v>69</v>
      </c>
      <c r="E216" s="42">
        <f t="shared" si="30"/>
        <v>0</v>
      </c>
      <c r="F216" s="42">
        <f t="shared" si="32"/>
        <v>0</v>
      </c>
      <c r="G216" s="42">
        <f t="shared" si="32"/>
        <v>0</v>
      </c>
      <c r="H216" s="42">
        <f t="shared" si="32"/>
        <v>0</v>
      </c>
    </row>
    <row r="217" spans="3:10" x14ac:dyDescent="0.3">
      <c r="C217" s="213" t="s">
        <v>20</v>
      </c>
      <c r="D217" s="207" t="s">
        <v>69</v>
      </c>
      <c r="E217" s="42">
        <f t="shared" si="30"/>
        <v>0</v>
      </c>
      <c r="F217" s="42">
        <f t="shared" si="32"/>
        <v>0</v>
      </c>
      <c r="G217" s="42">
        <f t="shared" si="32"/>
        <v>0</v>
      </c>
      <c r="H217" s="42">
        <f t="shared" si="32"/>
        <v>0</v>
      </c>
    </row>
    <row r="218" spans="3:10" x14ac:dyDescent="0.3">
      <c r="C218" s="213" t="s">
        <v>21</v>
      </c>
      <c r="D218" s="207" t="s">
        <v>69</v>
      </c>
      <c r="E218" s="159" t="e">
        <f t="shared" si="30"/>
        <v>#DIV/0!</v>
      </c>
      <c r="F218" s="159" t="e">
        <f t="shared" si="32"/>
        <v>#DIV/0!</v>
      </c>
      <c r="G218" s="159" t="e">
        <f t="shared" si="32"/>
        <v>#DIV/0!</v>
      </c>
      <c r="H218" s="159" t="e">
        <f t="shared" si="32"/>
        <v>#DIV/0!</v>
      </c>
    </row>
    <row r="219" spans="3:10" x14ac:dyDescent="0.3">
      <c r="C219" s="213" t="s">
        <v>22</v>
      </c>
      <c r="D219" s="207" t="s">
        <v>69</v>
      </c>
      <c r="E219" s="159" t="e">
        <f t="shared" si="30"/>
        <v>#DIV/0!</v>
      </c>
      <c r="F219" s="159" t="e">
        <f t="shared" si="32"/>
        <v>#DIV/0!</v>
      </c>
      <c r="G219" s="159" t="e">
        <f t="shared" si="32"/>
        <v>#DIV/0!</v>
      </c>
      <c r="H219" s="159" t="e">
        <f t="shared" si="32"/>
        <v>#DIV/0!</v>
      </c>
    </row>
    <row r="220" spans="3:10" x14ac:dyDescent="0.3">
      <c r="C220" s="216" t="s">
        <v>54</v>
      </c>
      <c r="D220" s="207" t="s">
        <v>69</v>
      </c>
      <c r="E220" s="45" t="e">
        <f>SUM(E211:E219)</f>
        <v>#DIV/0!</v>
      </c>
      <c r="F220" s="45" t="e">
        <f>SUM(F211:F219)</f>
        <v>#DIV/0!</v>
      </c>
      <c r="G220" s="45" t="e">
        <f>SUM(G211:G219)</f>
        <v>#DIV/0!</v>
      </c>
      <c r="H220" s="45" t="e">
        <f>SUM(H211:H219)</f>
        <v>#DIV/0!</v>
      </c>
      <c r="J220" s="45" t="e">
        <f>SUM(E220:H220)</f>
        <v>#DIV/0!</v>
      </c>
    </row>
  </sheetData>
  <sheetProtection algorithmName="SHA-512" hashValue="6klNywFhGXonP3P5E7L0sPp3s6lo8KBNOLL3LMMZY28jNexc2JQ7Ie7/8U539XPGTwvE9RO4jnYE0+t/86A/Iw==" saltValue="HS83wUXkeRW6DLftCjfoyA==" spinCount="100000" sheet="1" objects="1" scenarios="1"/>
  <mergeCells count="6">
    <mergeCell ref="E6:F6"/>
    <mergeCell ref="G6:H6"/>
    <mergeCell ref="E18:F18"/>
    <mergeCell ref="G18:H18"/>
    <mergeCell ref="E90:F90"/>
    <mergeCell ref="G90:H9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D249-FF94-4E6A-A0F0-5C186FAE9550}">
  <sheetPr>
    <tabColor theme="4" tint="0.59999389629810485"/>
  </sheetPr>
  <dimension ref="B2:AN276"/>
  <sheetViews>
    <sheetView zoomScaleNormal="100" workbookViewId="0">
      <pane ySplit="7" topLeftCell="A8" activePane="bottomLeft" state="frozen"/>
      <selection activeCell="J9" sqref="J9"/>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16384" width="8.85546875" style="17"/>
  </cols>
  <sheetData>
    <row r="2" spans="2:24" s="16" customFormat="1" ht="17.25" x14ac:dyDescent="0.3">
      <c r="C2" s="16" t="s">
        <v>145</v>
      </c>
      <c r="D2" s="16" t="s">
        <v>146</v>
      </c>
      <c r="M2" s="201"/>
    </row>
    <row r="3" spans="2:24" x14ac:dyDescent="0.3">
      <c r="M3" s="169"/>
    </row>
    <row r="4" spans="2:24" ht="20.25" x14ac:dyDescent="0.35">
      <c r="B4" s="77"/>
      <c r="C4" s="81" t="s">
        <v>735</v>
      </c>
      <c r="D4" s="76"/>
    </row>
    <row r="5" spans="2:24" s="18" customFormat="1" ht="17.25" thickBot="1" x14ac:dyDescent="0.35">
      <c r="B5" s="19" t="s">
        <v>153</v>
      </c>
      <c r="C5" s="19" t="s">
        <v>154</v>
      </c>
      <c r="D5" s="19" t="s">
        <v>32</v>
      </c>
      <c r="E5" s="19" t="s">
        <v>155</v>
      </c>
      <c r="F5" s="19"/>
      <c r="G5" s="19" t="s">
        <v>155</v>
      </c>
      <c r="H5" s="19"/>
      <c r="I5" s="19"/>
      <c r="J5" s="56" t="s">
        <v>156</v>
      </c>
      <c r="K5" s="56"/>
    </row>
    <row r="6" spans="2:24" s="30" customFormat="1" ht="18" thickTop="1" thickBot="1" x14ac:dyDescent="0.35">
      <c r="B6" s="28"/>
      <c r="C6" s="29" t="s">
        <v>157</v>
      </c>
      <c r="D6" s="29"/>
      <c r="E6" s="335" t="s">
        <v>5</v>
      </c>
      <c r="F6" s="335"/>
      <c r="G6" s="335" t="s">
        <v>6</v>
      </c>
      <c r="H6" s="335"/>
      <c r="I6" s="28"/>
      <c r="J6" s="28"/>
      <c r="K6" s="57"/>
    </row>
    <row r="7" spans="2:24" ht="18" thickTop="1" thickBot="1" x14ac:dyDescent="0.35">
      <c r="B7" s="19"/>
      <c r="C7" s="29" t="s">
        <v>158</v>
      </c>
      <c r="D7" s="29"/>
      <c r="E7" s="29" t="s">
        <v>7</v>
      </c>
      <c r="F7" s="29" t="s">
        <v>8</v>
      </c>
      <c r="G7" s="29" t="s">
        <v>7</v>
      </c>
      <c r="H7" s="29" t="s">
        <v>8</v>
      </c>
      <c r="I7" s="19"/>
      <c r="J7" s="19"/>
      <c r="K7" s="56"/>
    </row>
    <row r="8" spans="2:24" ht="17.25" thickTop="1" x14ac:dyDescent="0.3">
      <c r="C8" s="49" t="s">
        <v>717</v>
      </c>
    </row>
    <row r="9" spans="2:24" x14ac:dyDescent="0.3">
      <c r="C9" s="96" t="s">
        <v>736</v>
      </c>
      <c r="D9" s="15" t="s">
        <v>188</v>
      </c>
      <c r="E9" s="25">
        <v>15</v>
      </c>
      <c r="F9" s="148" t="s">
        <v>718</v>
      </c>
      <c r="G9" s="97">
        <f>J9*E9%</f>
        <v>6.3</v>
      </c>
      <c r="H9" s="26" t="s">
        <v>211</v>
      </c>
      <c r="I9" s="148" t="s">
        <v>719</v>
      </c>
      <c r="J9" s="83">
        <f>'Model homes'!E81</f>
        <v>42</v>
      </c>
      <c r="K9" s="26" t="s">
        <v>211</v>
      </c>
      <c r="M9" s="129"/>
      <c r="N9" s="129"/>
      <c r="O9" s="129"/>
      <c r="P9" s="129"/>
    </row>
    <row r="10" spans="2:24" ht="17.25" thickBot="1" x14ac:dyDescent="0.35">
      <c r="C10" s="96"/>
    </row>
    <row r="11" spans="2:24" ht="17.25" thickTop="1" x14ac:dyDescent="0.3">
      <c r="C11" s="27" t="s">
        <v>723</v>
      </c>
    </row>
    <row r="12" spans="2:24" x14ac:dyDescent="0.3">
      <c r="C12" s="96" t="s">
        <v>736</v>
      </c>
      <c r="D12" s="15" t="s">
        <v>191</v>
      </c>
      <c r="E12" s="42">
        <f>$G9/'Model homes'!$E$83*'Model homes'!E$86</f>
        <v>342.31276799999995</v>
      </c>
      <c r="F12" s="42">
        <f>$G9/'Model homes'!$E$83*'Model homes'!F$86</f>
        <v>342.31276799999995</v>
      </c>
      <c r="G12" s="42">
        <f>$G9/'Model homes'!$E$83*'Model homes'!G$86</f>
        <v>256.73457599999995</v>
      </c>
      <c r="H12" s="42">
        <f>$G9/'Model homes'!$E$83*'Model homes'!H$86</f>
        <v>256.73457599999995</v>
      </c>
    </row>
    <row r="13" spans="2:24" x14ac:dyDescent="0.3">
      <c r="C13" s="84"/>
    </row>
    <row r="14" spans="2:24" ht="20.25" x14ac:dyDescent="0.35">
      <c r="C14" s="81" t="s">
        <v>578</v>
      </c>
    </row>
    <row r="15" spans="2:24" s="18" customFormat="1" ht="17.25" thickBot="1" x14ac:dyDescent="0.35">
      <c r="B15" s="19" t="s">
        <v>153</v>
      </c>
      <c r="C15" s="19" t="s">
        <v>154</v>
      </c>
      <c r="D15" s="19" t="s">
        <v>32</v>
      </c>
      <c r="E15" s="19" t="s">
        <v>155</v>
      </c>
      <c r="F15" s="19"/>
      <c r="G15" s="19" t="s">
        <v>155</v>
      </c>
      <c r="H15" s="19"/>
      <c r="I15" s="19"/>
      <c r="J15" s="56" t="s">
        <v>156</v>
      </c>
      <c r="K15" s="56"/>
    </row>
    <row r="16" spans="2:24" s="30" customFormat="1" ht="18" thickTop="1" thickBot="1" x14ac:dyDescent="0.35">
      <c r="B16" s="28"/>
      <c r="C16" s="29" t="s">
        <v>157</v>
      </c>
      <c r="D16" s="29"/>
      <c r="E16" s="335" t="s">
        <v>5</v>
      </c>
      <c r="F16" s="335"/>
      <c r="G16" s="335" t="s">
        <v>6</v>
      </c>
      <c r="H16" s="335"/>
      <c r="I16" s="28"/>
      <c r="J16" s="28"/>
      <c r="K16" s="57"/>
      <c r="M16" s="20"/>
      <c r="V16" s="18"/>
      <c r="W16" s="18"/>
      <c r="X16" s="18"/>
    </row>
    <row r="17" spans="2:24" ht="18" thickTop="1" thickBot="1" x14ac:dyDescent="0.35">
      <c r="B17" s="19"/>
      <c r="C17" s="29" t="s">
        <v>158</v>
      </c>
      <c r="D17" s="29"/>
      <c r="E17" s="29" t="s">
        <v>7</v>
      </c>
      <c r="F17" s="29" t="s">
        <v>8</v>
      </c>
      <c r="G17" s="29" t="s">
        <v>7</v>
      </c>
      <c r="H17" s="29" t="s">
        <v>8</v>
      </c>
      <c r="I17" s="19"/>
      <c r="J17" s="19" t="s">
        <v>482</v>
      </c>
      <c r="K17" s="56" t="s">
        <v>483</v>
      </c>
      <c r="M17" s="82"/>
      <c r="N17" s="82"/>
      <c r="V17" s="18"/>
      <c r="W17" s="18"/>
      <c r="X17" s="18"/>
    </row>
    <row r="18" spans="2:24" ht="17.25" thickTop="1" x14ac:dyDescent="0.3">
      <c r="C18" s="27" t="s">
        <v>736</v>
      </c>
      <c r="D18" s="84"/>
      <c r="E18" s="91"/>
      <c r="F18" s="91"/>
      <c r="G18" s="91"/>
      <c r="H18" s="91"/>
      <c r="V18" s="18"/>
      <c r="W18" s="18"/>
      <c r="X18" s="18"/>
    </row>
    <row r="19" spans="2:24" customFormat="1" x14ac:dyDescent="0.3">
      <c r="C19" s="15" t="s">
        <v>484</v>
      </c>
      <c r="D19" s="15" t="s">
        <v>485</v>
      </c>
      <c r="E19" s="38">
        <v>0.5</v>
      </c>
      <c r="F19" s="97">
        <f>E19</f>
        <v>0.5</v>
      </c>
      <c r="G19" s="38">
        <v>0.5</v>
      </c>
      <c r="H19" s="97">
        <f t="shared" ref="H19:H20" si="0">G19</f>
        <v>0.5</v>
      </c>
      <c r="J19" s="83" t="s">
        <v>737</v>
      </c>
      <c r="K19" s="15" t="s">
        <v>485</v>
      </c>
      <c r="O19" s="17"/>
      <c r="R19" s="17"/>
      <c r="S19" s="17"/>
      <c r="T19" s="17"/>
      <c r="U19" s="17"/>
      <c r="V19" s="18"/>
      <c r="W19" s="18"/>
      <c r="X19" s="18"/>
    </row>
    <row r="20" spans="2:24" customFormat="1" x14ac:dyDescent="0.3">
      <c r="C20" s="15" t="s">
        <v>738</v>
      </c>
      <c r="D20" s="15" t="s">
        <v>485</v>
      </c>
      <c r="E20" s="38">
        <v>1</v>
      </c>
      <c r="F20" s="97">
        <f>E20</f>
        <v>1</v>
      </c>
      <c r="G20" s="38">
        <v>1</v>
      </c>
      <c r="H20" s="97">
        <f t="shared" si="0"/>
        <v>1</v>
      </c>
      <c r="J20" s="83" t="s">
        <v>739</v>
      </c>
      <c r="K20" s="15" t="s">
        <v>485</v>
      </c>
      <c r="O20" s="17"/>
      <c r="R20" s="17"/>
      <c r="S20" s="17"/>
      <c r="T20" s="17"/>
      <c r="U20" s="17"/>
      <c r="V20" s="18"/>
      <c r="W20" s="18"/>
      <c r="X20" s="18"/>
    </row>
    <row r="21" spans="2:24" customFormat="1" x14ac:dyDescent="0.3">
      <c r="C21" s="15" t="s">
        <v>740</v>
      </c>
      <c r="D21" s="15" t="s">
        <v>485</v>
      </c>
      <c r="E21" s="97">
        <f>SUM(E19:E20)</f>
        <v>1.5</v>
      </c>
      <c r="F21" s="97">
        <f t="shared" ref="F21:H21" si="1">SUM(F19:F20)</f>
        <v>1.5</v>
      </c>
      <c r="G21" s="97">
        <f t="shared" si="1"/>
        <v>1.5</v>
      </c>
      <c r="H21" s="97">
        <f t="shared" si="1"/>
        <v>1.5</v>
      </c>
      <c r="O21" s="17"/>
      <c r="T21" s="17"/>
      <c r="U21" s="17"/>
      <c r="V21" s="18"/>
      <c r="W21" s="18"/>
      <c r="X21" s="18"/>
    </row>
    <row r="22" spans="2:24" customFormat="1" x14ac:dyDescent="0.3">
      <c r="C22" s="15" t="s">
        <v>489</v>
      </c>
      <c r="D22" s="15" t="s">
        <v>485</v>
      </c>
      <c r="E22" s="38">
        <v>0.3</v>
      </c>
      <c r="F22" s="97">
        <f>E22</f>
        <v>0.3</v>
      </c>
      <c r="G22" s="38">
        <v>0.3</v>
      </c>
      <c r="H22" s="97">
        <f t="shared" ref="H22" si="2">G22</f>
        <v>0.3</v>
      </c>
      <c r="I22" s="17"/>
      <c r="J22" s="83" t="s">
        <v>741</v>
      </c>
      <c r="K22" s="15" t="s">
        <v>485</v>
      </c>
      <c r="M22" s="26"/>
      <c r="O22" s="17"/>
      <c r="T22" s="17"/>
      <c r="U22" s="17"/>
      <c r="V22" s="18"/>
      <c r="W22" s="18"/>
      <c r="X22" s="18"/>
    </row>
    <row r="23" spans="2:24" customFormat="1" x14ac:dyDescent="0.3">
      <c r="C23" s="105" t="s">
        <v>491</v>
      </c>
      <c r="D23" s="15" t="s">
        <v>485</v>
      </c>
      <c r="E23" s="97">
        <f>E21+E22</f>
        <v>1.8</v>
      </c>
      <c r="F23" s="97">
        <f t="shared" ref="F23:H23" si="3">F21+F22</f>
        <v>1.8</v>
      </c>
      <c r="G23" s="97">
        <f t="shared" si="3"/>
        <v>1.8</v>
      </c>
      <c r="H23" s="97">
        <f t="shared" si="3"/>
        <v>1.8</v>
      </c>
      <c r="I23" s="17"/>
      <c r="K23" s="15"/>
      <c r="O23" s="17"/>
      <c r="R23" s="17"/>
      <c r="S23" s="17"/>
      <c r="T23" s="17"/>
      <c r="U23" s="17"/>
      <c r="V23" s="18"/>
      <c r="W23" s="18"/>
      <c r="X23" s="18"/>
    </row>
    <row r="24" spans="2:24" customFormat="1" x14ac:dyDescent="0.3">
      <c r="C24" s="15" t="s">
        <v>492</v>
      </c>
      <c r="D24" s="15" t="s">
        <v>493</v>
      </c>
      <c r="E24" s="25">
        <v>15</v>
      </c>
      <c r="F24" s="42">
        <f>E24</f>
        <v>15</v>
      </c>
      <c r="G24" s="42">
        <f t="shared" ref="G24:H27" si="4">F24</f>
        <v>15</v>
      </c>
      <c r="H24" s="42">
        <f t="shared" si="4"/>
        <v>15</v>
      </c>
      <c r="I24" s="17"/>
      <c r="J24" s="83" t="s">
        <v>494</v>
      </c>
      <c r="K24" s="15" t="s">
        <v>493</v>
      </c>
      <c r="M24" s="26" t="s">
        <v>495</v>
      </c>
      <c r="N24" s="17"/>
      <c r="O24" s="17"/>
      <c r="R24" s="17"/>
      <c r="S24" s="17"/>
      <c r="T24" s="17"/>
      <c r="U24" s="17"/>
      <c r="V24" s="18"/>
      <c r="W24" s="18"/>
      <c r="X24" s="18"/>
    </row>
    <row r="25" spans="2:24" customFormat="1" x14ac:dyDescent="0.3">
      <c r="C25" s="105" t="s">
        <v>496</v>
      </c>
      <c r="D25" s="15" t="s">
        <v>69</v>
      </c>
      <c r="E25" s="42">
        <f>E23*E24</f>
        <v>27</v>
      </c>
      <c r="F25" s="42">
        <f t="shared" ref="F25:H25" si="5">F23*F24</f>
        <v>27</v>
      </c>
      <c r="G25" s="42">
        <f t="shared" si="5"/>
        <v>27</v>
      </c>
      <c r="H25" s="42">
        <f t="shared" si="5"/>
        <v>27</v>
      </c>
      <c r="I25" s="17"/>
      <c r="K25" s="15"/>
      <c r="O25" s="17"/>
      <c r="R25" s="17"/>
      <c r="S25" s="17"/>
      <c r="T25" s="17"/>
      <c r="U25" s="17"/>
      <c r="V25" s="18"/>
      <c r="W25" s="18"/>
      <c r="X25" s="18"/>
    </row>
    <row r="26" spans="2:24" customFormat="1" x14ac:dyDescent="0.3">
      <c r="C26" s="15" t="s">
        <v>742</v>
      </c>
      <c r="D26" s="17" t="s">
        <v>166</v>
      </c>
      <c r="E26" s="25">
        <v>1</v>
      </c>
      <c r="F26" s="42">
        <f>E26</f>
        <v>1</v>
      </c>
      <c r="G26" s="25">
        <v>1</v>
      </c>
      <c r="H26" s="42">
        <f t="shared" ref="H26" si="6">G26</f>
        <v>1</v>
      </c>
      <c r="I26" s="42"/>
      <c r="K26" s="15"/>
      <c r="O26" s="17"/>
      <c r="R26" s="17"/>
      <c r="S26" s="17"/>
      <c r="T26" s="17"/>
      <c r="U26" s="17"/>
      <c r="V26" s="18"/>
      <c r="W26" s="18"/>
      <c r="X26" s="18"/>
    </row>
    <row r="27" spans="2:24" customFormat="1" x14ac:dyDescent="0.3">
      <c r="C27" s="15" t="s">
        <v>743</v>
      </c>
      <c r="D27" s="15" t="s">
        <v>744</v>
      </c>
      <c r="E27" s="38">
        <v>30</v>
      </c>
      <c r="F27" s="97">
        <f>E27</f>
        <v>30</v>
      </c>
      <c r="G27" s="97">
        <f t="shared" si="4"/>
        <v>30</v>
      </c>
      <c r="H27" s="97">
        <f t="shared" si="4"/>
        <v>30</v>
      </c>
      <c r="I27" s="17"/>
      <c r="J27" s="83" t="s">
        <v>745</v>
      </c>
      <c r="K27" s="15" t="s">
        <v>69</v>
      </c>
      <c r="L27" s="15"/>
      <c r="O27" s="17"/>
      <c r="R27" s="17"/>
      <c r="S27" s="17"/>
      <c r="T27" s="17"/>
      <c r="U27" s="17"/>
      <c r="V27" s="18"/>
      <c r="W27" s="18"/>
      <c r="X27" s="18"/>
    </row>
    <row r="28" spans="2:24" customFormat="1" x14ac:dyDescent="0.3">
      <c r="C28" s="105" t="s">
        <v>501</v>
      </c>
      <c r="D28" s="15" t="s">
        <v>69</v>
      </c>
      <c r="E28" s="42">
        <f>E26*E27</f>
        <v>30</v>
      </c>
      <c r="F28" s="42">
        <f t="shared" ref="F28:H28" si="7">F26*F27</f>
        <v>30</v>
      </c>
      <c r="G28" s="42">
        <f t="shared" si="7"/>
        <v>30</v>
      </c>
      <c r="H28" s="42">
        <f t="shared" si="7"/>
        <v>30</v>
      </c>
      <c r="I28" s="42"/>
      <c r="R28" s="17"/>
      <c r="S28" s="17"/>
      <c r="T28" s="17"/>
      <c r="U28" s="17"/>
      <c r="V28" s="18"/>
      <c r="W28" s="18"/>
      <c r="X28" s="18"/>
    </row>
    <row r="29" spans="2:24" s="135" customFormat="1" x14ac:dyDescent="0.3">
      <c r="C29" s="133" t="s">
        <v>503</v>
      </c>
      <c r="D29" s="133" t="s">
        <v>69</v>
      </c>
      <c r="E29" s="134">
        <f>E25+E28</f>
        <v>57</v>
      </c>
      <c r="F29" s="134">
        <f>F25+F28</f>
        <v>57</v>
      </c>
      <c r="G29" s="134">
        <f>G25+G28</f>
        <v>57</v>
      </c>
      <c r="H29" s="134">
        <f>H25+H28</f>
        <v>57</v>
      </c>
      <c r="V29" s="18"/>
      <c r="W29" s="18"/>
      <c r="X29" s="18"/>
    </row>
    <row r="30" spans="2:24" x14ac:dyDescent="0.3">
      <c r="C30" s="96"/>
      <c r="D30" s="84"/>
      <c r="E30" s="91"/>
      <c r="F30" s="91"/>
      <c r="G30" s="91"/>
      <c r="H30" s="91"/>
      <c r="V30" s="42"/>
      <c r="W30" s="99"/>
      <c r="X30" s="99"/>
    </row>
    <row r="31" spans="2:24" x14ac:dyDescent="0.3">
      <c r="C31" s="133" t="s">
        <v>504</v>
      </c>
      <c r="D31" s="84" t="s">
        <v>505</v>
      </c>
      <c r="E31" s="25">
        <v>0</v>
      </c>
      <c r="F31" s="91">
        <f>E31</f>
        <v>0</v>
      </c>
      <c r="G31" s="25">
        <v>0</v>
      </c>
      <c r="H31" s="91">
        <f t="shared" ref="H31" si="8">G31</f>
        <v>0</v>
      </c>
      <c r="J31" s="83">
        <v>0</v>
      </c>
      <c r="K31" s="84" t="s">
        <v>505</v>
      </c>
      <c r="M31" s="26"/>
      <c r="V31" s="18"/>
      <c r="W31" s="18"/>
      <c r="X31" s="18"/>
    </row>
    <row r="32" spans="2:24" x14ac:dyDescent="0.3">
      <c r="C32" s="84" t="s">
        <v>508</v>
      </c>
      <c r="D32" s="84" t="s">
        <v>301</v>
      </c>
      <c r="E32" s="94">
        <f>'Model homes'!E$171</f>
        <v>0.02</v>
      </c>
      <c r="F32" s="91"/>
      <c r="G32" s="91"/>
      <c r="H32" s="91"/>
      <c r="V32" s="18"/>
      <c r="W32" s="18"/>
      <c r="X32" s="18"/>
    </row>
    <row r="33" spans="3:24" x14ac:dyDescent="0.3">
      <c r="C33" s="84" t="s">
        <v>509</v>
      </c>
      <c r="D33" s="84" t="s">
        <v>301</v>
      </c>
      <c r="E33" s="63">
        <f>IF($E32=E$35,1,(1-(((1+$E32)/(1+E$35))^E36))/(E35-$E32))</f>
        <v>8.8245523926477656</v>
      </c>
      <c r="F33" s="63">
        <f>IF($E32=F$35,1,(1-(((1+$E32)/(1+F$35))^F36))/(F35-$E32))</f>
        <v>8.8245523926477656</v>
      </c>
      <c r="G33" s="63">
        <f>IF($E32=G$35,1,(1-(((1+$E32)/(1+G$35))^G36))/(G35-$E32))</f>
        <v>8.8245523926477656</v>
      </c>
      <c r="H33" s="63">
        <f>IF($E32=H$35,1,(1-(((1+$E32)/(1+H$35))^H36))/(H35-$E32))</f>
        <v>8.8245523926477656</v>
      </c>
      <c r="V33" s="18"/>
      <c r="W33" s="18"/>
      <c r="X33" s="18"/>
    </row>
    <row r="34" spans="3:24" x14ac:dyDescent="0.3">
      <c r="C34" s="84" t="s">
        <v>510</v>
      </c>
      <c r="D34" s="84" t="s">
        <v>505</v>
      </c>
      <c r="E34" s="63">
        <f>-PMT(E35,E36,E31*E33)</f>
        <v>0</v>
      </c>
      <c r="F34" s="63">
        <f>-PMT(F35,F36,F31*F33)</f>
        <v>0</v>
      </c>
      <c r="G34" s="63">
        <f>-PMT(G35,G36,G31*G33)</f>
        <v>0</v>
      </c>
      <c r="H34" s="63">
        <f>-PMT(H35,H36,H31*H33)</f>
        <v>0</v>
      </c>
      <c r="V34" s="18"/>
      <c r="W34" s="18"/>
      <c r="X34" s="18"/>
    </row>
    <row r="35" spans="3:24" x14ac:dyDescent="0.3">
      <c r="C35" s="84" t="s">
        <v>302</v>
      </c>
      <c r="D35" s="84" t="s">
        <v>301</v>
      </c>
      <c r="E35" s="94">
        <f>'Model homes'!$E169</f>
        <v>0.04</v>
      </c>
      <c r="F35" s="94">
        <f>'Model homes'!$E169</f>
        <v>0.04</v>
      </c>
      <c r="G35" s="94">
        <f>'Model homes'!$E169</f>
        <v>0.04</v>
      </c>
      <c r="H35" s="94">
        <f>'Model homes'!$E169</f>
        <v>0.04</v>
      </c>
      <c r="V35" s="18"/>
      <c r="W35" s="18"/>
      <c r="X35" s="18"/>
    </row>
    <row r="36" spans="3:24" x14ac:dyDescent="0.3">
      <c r="C36" s="133" t="s">
        <v>511</v>
      </c>
      <c r="D36" s="84" t="s">
        <v>512</v>
      </c>
      <c r="E36" s="25">
        <v>10</v>
      </c>
      <c r="F36" s="91">
        <f>E36</f>
        <v>10</v>
      </c>
      <c r="G36" s="91">
        <f t="shared" ref="G36:H36" si="9">F36</f>
        <v>10</v>
      </c>
      <c r="H36" s="91">
        <f t="shared" si="9"/>
        <v>10</v>
      </c>
      <c r="J36" s="83" t="s">
        <v>746</v>
      </c>
      <c r="K36" s="15" t="s">
        <v>610</v>
      </c>
      <c r="L36" s="15"/>
      <c r="V36" s="18"/>
      <c r="W36" s="18"/>
      <c r="X36" s="18"/>
    </row>
    <row r="37" spans="3:24" x14ac:dyDescent="0.3">
      <c r="C37" s="96"/>
      <c r="D37" s="84"/>
      <c r="E37" s="91"/>
      <c r="F37" s="91"/>
      <c r="G37" s="91"/>
      <c r="H37" s="91"/>
      <c r="V37" s="42"/>
      <c r="W37" s="99"/>
      <c r="X37" s="99"/>
    </row>
    <row r="38" spans="3:24" x14ac:dyDescent="0.3">
      <c r="C38" s="51" t="s">
        <v>724</v>
      </c>
      <c r="D38" s="84"/>
      <c r="E38" s="91"/>
      <c r="F38" s="91"/>
      <c r="G38" s="91"/>
      <c r="H38" s="91"/>
    </row>
    <row r="39" spans="3:24" x14ac:dyDescent="0.3">
      <c r="C39" s="20" t="s">
        <v>14</v>
      </c>
      <c r="D39" s="15" t="s">
        <v>191</v>
      </c>
      <c r="E39" s="42">
        <f>E$12/'Model homes'!E$86*'Model homes'!E95</f>
        <v>536.40763645360812</v>
      </c>
      <c r="F39" s="42">
        <f>F$12/'Model homes'!F$86*'Model homes'!F95</f>
        <v>530.93408914285703</v>
      </c>
      <c r="G39" s="42">
        <f>G$12/'Model homes'!G$86*'Model homes'!G95</f>
        <v>600.81184280412356</v>
      </c>
      <c r="H39" s="42">
        <f>H$12/'Model homes'!H$86*'Model homes'!H95</f>
        <v>594.68110971428564</v>
      </c>
      <c r="J39" s="26"/>
    </row>
    <row r="40" spans="3:24" x14ac:dyDescent="0.3">
      <c r="C40" s="14" t="s">
        <v>15</v>
      </c>
      <c r="D40" s="15" t="s">
        <v>191</v>
      </c>
      <c r="E40" s="42">
        <f>E$12/'Model homes'!E$86*'Model homes'!E96</f>
        <v>800.48524209230743</v>
      </c>
      <c r="F40" s="42">
        <f>F$12/'Model homes'!F$86*'Model homes'!F96</f>
        <v>743.30772479999985</v>
      </c>
      <c r="G40" s="42">
        <f>G$12/'Model homes'!G$86*'Model homes'!G96</f>
        <v>869.83207092537282</v>
      </c>
      <c r="H40" s="42">
        <f>H$12/'Model homes'!H$86*'Model homes'!H96</f>
        <v>832.55355359999987</v>
      </c>
      <c r="J40" s="26"/>
    </row>
    <row r="41" spans="3:24" x14ac:dyDescent="0.3">
      <c r="C41" s="15" t="s">
        <v>16</v>
      </c>
      <c r="D41" s="15" t="s">
        <v>191</v>
      </c>
      <c r="E41" s="42">
        <f>E$12/'Model homes'!E$86*'Model homes'!E97</f>
        <v>650.39425919999985</v>
      </c>
      <c r="F41" s="42">
        <f>F$12/'Model homes'!F$86*'Model homes'!F97</f>
        <v>619.42310399999985</v>
      </c>
      <c r="G41" s="42">
        <f>G$12/'Model homes'!G$86*'Model homes'!G97</f>
        <v>710.71644819512187</v>
      </c>
      <c r="H41" s="42">
        <f>H$12/'Model homes'!H$86*'Model homes'!H97</f>
        <v>693.79462799999976</v>
      </c>
      <c r="J41" s="26"/>
    </row>
    <row r="42" spans="3:24" x14ac:dyDescent="0.3">
      <c r="C42" s="15" t="s">
        <v>17</v>
      </c>
      <c r="D42" s="15" t="s">
        <v>191</v>
      </c>
      <c r="E42" s="42">
        <f>E$12/'Model homes'!E$86*'Model homes'!E98</f>
        <v>800.48524209230743</v>
      </c>
      <c r="F42" s="42">
        <f>F$12/'Model homes'!F$86*'Model homes'!F98</f>
        <v>743.30772479999985</v>
      </c>
      <c r="G42" s="42">
        <f>G$12/'Model homes'!G$86*'Model homes'!G98</f>
        <v>896.59613464615359</v>
      </c>
      <c r="H42" s="42">
        <f>H$12/'Model homes'!H$86*'Model homes'!H98</f>
        <v>832.55355359999987</v>
      </c>
      <c r="J42" s="26"/>
    </row>
    <row r="43" spans="3:24" x14ac:dyDescent="0.3">
      <c r="C43" s="15" t="s">
        <v>18</v>
      </c>
      <c r="D43" s="15" t="s">
        <v>191</v>
      </c>
      <c r="E43" s="42">
        <f>E$12/'Model homes'!E$86*'Model homes'!E99</f>
        <v>650.39425919999985</v>
      </c>
      <c r="F43" s="42">
        <f>F$12/'Model homes'!F$86*'Model homes'!F99</f>
        <v>612.13577336470576</v>
      </c>
      <c r="G43" s="42">
        <f>G$12/'Model homes'!G$86*'Model homes'!G99</f>
        <v>728.48435939999979</v>
      </c>
      <c r="H43" s="42">
        <f>H$12/'Model homes'!H$86*'Model homes'!H99</f>
        <v>685.63233825882332</v>
      </c>
      <c r="J43" s="26"/>
    </row>
    <row r="44" spans="3:24" x14ac:dyDescent="0.3">
      <c r="C44" s="15" t="s">
        <v>19</v>
      </c>
      <c r="D44" s="15" t="s">
        <v>191</v>
      </c>
      <c r="E44" s="42">
        <f>E$12/'Model homes'!E$86*'Model homes'!E100</f>
        <v>650.39425919999985</v>
      </c>
      <c r="F44" s="42">
        <f>F$12/'Model homes'!F$86*'Model homes'!F100</f>
        <v>605.01791553488363</v>
      </c>
      <c r="G44" s="42">
        <f>G$12/'Model homes'!G$86*'Model homes'!G100</f>
        <v>728.48435939999979</v>
      </c>
      <c r="H44" s="42">
        <f>H$12/'Model homes'!H$86*'Model homes'!H100</f>
        <v>677.6598692093022</v>
      </c>
      <c r="J44" s="26"/>
    </row>
    <row r="45" spans="3:24" x14ac:dyDescent="0.3">
      <c r="C45" s="14" t="s">
        <v>20</v>
      </c>
      <c r="D45" s="15" t="s">
        <v>191</v>
      </c>
      <c r="E45" s="42">
        <f>E$12/'Model homes'!E$86*'Model homes'!E101</f>
        <v>612.13577336470576</v>
      </c>
      <c r="F45" s="42">
        <f>F$12/'Model homes'!F$86*'Model homes'!F101</f>
        <v>598.06368662068951</v>
      </c>
      <c r="G45" s="42">
        <f>G$12/'Model homes'!G$86*'Model homes'!G101</f>
        <v>669.87067531034461</v>
      </c>
      <c r="H45" s="42">
        <f>H$12/'Model homes'!H$86*'Model homes'!H101</f>
        <v>669.87067531034461</v>
      </c>
      <c r="J45" s="26"/>
    </row>
    <row r="46" spans="3:24" x14ac:dyDescent="0.3">
      <c r="C46" s="14" t="s">
        <v>21</v>
      </c>
      <c r="D46" s="15" t="s">
        <v>191</v>
      </c>
      <c r="E46" s="42">
        <f>E$12/'Model homes'!E$86*'Model homes'!E102</f>
        <v>342.31276799999995</v>
      </c>
      <c r="F46" s="42">
        <f>F$12/'Model homes'!F$86*'Model homes'!F102</f>
        <v>342.31276799999995</v>
      </c>
      <c r="G46" s="42">
        <f>G$12/'Model homes'!G$86*'Model homes'!G102</f>
        <v>256.73457599999995</v>
      </c>
      <c r="H46" s="42">
        <f>H$12/'Model homes'!H$86*'Model homes'!H102</f>
        <v>256.73457599999995</v>
      </c>
      <c r="J46" s="17" t="s">
        <v>478</v>
      </c>
      <c r="K46" s="17" t="s">
        <v>479</v>
      </c>
    </row>
    <row r="47" spans="3:24" x14ac:dyDescent="0.3">
      <c r="C47" s="14" t="s">
        <v>22</v>
      </c>
      <c r="D47" s="15" t="s">
        <v>191</v>
      </c>
      <c r="E47" s="42">
        <f>E$12/'Model homes'!E$86*'Model homes'!E103</f>
        <v>179.55254277483263</v>
      </c>
      <c r="F47" s="42">
        <f>F$12/'Model homes'!F$86*'Model homes'!F103</f>
        <v>159.53254863099798</v>
      </c>
      <c r="G47" s="42">
        <f>G$12/'Model homes'!G$86*'Model homes'!G103</f>
        <v>178.68695002912764</v>
      </c>
      <c r="H47" s="42">
        <f>H$12/'Model homes'!H$86*'Model homes'!H103</f>
        <v>166.02477110755558</v>
      </c>
      <c r="J47" s="202">
        <f>AVERAGE(E39:H47)</f>
        <v>589.61999468840122</v>
      </c>
      <c r="K47" s="45" t="e">
        <f>AVERAGEIFS($E$39:$H$47,$J$76:$M$84,"yes")</f>
        <v>#DIV/0!</v>
      </c>
    </row>
    <row r="48" spans="3:24" x14ac:dyDescent="0.3">
      <c r="C48" s="96"/>
      <c r="D48" s="84"/>
      <c r="E48" s="91"/>
      <c r="F48" s="91"/>
      <c r="G48" s="91"/>
      <c r="H48" s="91"/>
      <c r="V48" s="42"/>
      <c r="W48" s="99"/>
      <c r="X48" s="99"/>
    </row>
    <row r="49" spans="3:12" x14ac:dyDescent="0.3">
      <c r="C49" s="51" t="s">
        <v>515</v>
      </c>
      <c r="D49" s="84"/>
      <c r="E49" s="91"/>
      <c r="F49" s="91"/>
      <c r="G49" s="91"/>
      <c r="H49" s="91"/>
    </row>
    <row r="50" spans="3:12" x14ac:dyDescent="0.3">
      <c r="C50" s="20" t="s">
        <v>14</v>
      </c>
      <c r="D50" s="15" t="s">
        <v>299</v>
      </c>
      <c r="E50" s="42" t="e">
        <f>E39*'Model homes'!E127*10^-3</f>
        <v>#VALUE!</v>
      </c>
      <c r="F50" s="42" t="e">
        <f>F39*'Model homes'!F127*10^-3</f>
        <v>#VALUE!</v>
      </c>
      <c r="G50" s="42" t="e">
        <f>G39*'Model homes'!G127*10^-3</f>
        <v>#VALUE!</v>
      </c>
      <c r="H50" s="42" t="e">
        <f>H39*'Model homes'!H127*10^-3</f>
        <v>#VALUE!</v>
      </c>
      <c r="J50" s="26" t="s">
        <v>516</v>
      </c>
    </row>
    <row r="51" spans="3:12" x14ac:dyDescent="0.3">
      <c r="C51" s="14" t="s">
        <v>15</v>
      </c>
      <c r="D51" s="15" t="s">
        <v>299</v>
      </c>
      <c r="E51" s="42" t="e">
        <f>E40*'Model homes'!E131/100</f>
        <v>#VALUE!</v>
      </c>
      <c r="F51" s="42" t="e">
        <f>F40*'Model homes'!F131/100</f>
        <v>#VALUE!</v>
      </c>
      <c r="G51" s="42" t="e">
        <f>G40*'Model homes'!G131/100</f>
        <v>#VALUE!</v>
      </c>
      <c r="H51" s="42" t="e">
        <f>H40*'Model homes'!H131/100</f>
        <v>#VALUE!</v>
      </c>
      <c r="J51" s="26"/>
    </row>
    <row r="52" spans="3:12" x14ac:dyDescent="0.3">
      <c r="C52" s="15" t="s">
        <v>16</v>
      </c>
      <c r="D52" s="15" t="s">
        <v>299</v>
      </c>
      <c r="E52" s="42" t="e">
        <f>E41*'Model homes'!E133/100</f>
        <v>#VALUE!</v>
      </c>
      <c r="F52" s="42" t="e">
        <f>F41*'Model homes'!F133/100</f>
        <v>#VALUE!</v>
      </c>
      <c r="G52" s="42" t="e">
        <f>G41*'Model homes'!G133/100</f>
        <v>#VALUE!</v>
      </c>
      <c r="H52" s="42" t="e">
        <f>H41*'Model homes'!H133/100</f>
        <v>#VALUE!</v>
      </c>
      <c r="J52" s="26"/>
    </row>
    <row r="53" spans="3:12" x14ac:dyDescent="0.3">
      <c r="C53" s="15" t="s">
        <v>17</v>
      </c>
      <c r="D53" s="15" t="s">
        <v>299</v>
      </c>
      <c r="E53" s="42" t="e">
        <f>E42*'Model homes'!E135/100</f>
        <v>#VALUE!</v>
      </c>
      <c r="F53" s="42" t="e">
        <f>F42*'Model homes'!F135/100</f>
        <v>#VALUE!</v>
      </c>
      <c r="G53" s="42" t="e">
        <f>G42*'Model homes'!G135/100</f>
        <v>#VALUE!</v>
      </c>
      <c r="H53" s="42" t="e">
        <f>H42*'Model homes'!H135/100</f>
        <v>#VALUE!</v>
      </c>
      <c r="J53" s="26"/>
    </row>
    <row r="54" spans="3:12" x14ac:dyDescent="0.3">
      <c r="C54" s="15" t="s">
        <v>18</v>
      </c>
      <c r="D54" s="15" t="s">
        <v>299</v>
      </c>
      <c r="E54" s="42" t="e">
        <f>E43*'Model homes'!E137/100</f>
        <v>#VALUE!</v>
      </c>
      <c r="F54" s="42" t="e">
        <f>F43*'Model homes'!F137/100</f>
        <v>#VALUE!</v>
      </c>
      <c r="G54" s="42" t="e">
        <f>G43*'Model homes'!G137/100</f>
        <v>#VALUE!</v>
      </c>
      <c r="H54" s="42" t="e">
        <f>H43*'Model homes'!H137/100</f>
        <v>#VALUE!</v>
      </c>
      <c r="J54" s="26"/>
    </row>
    <row r="55" spans="3:12" x14ac:dyDescent="0.3">
      <c r="C55" s="15" t="s">
        <v>19</v>
      </c>
      <c r="D55" s="15" t="s">
        <v>299</v>
      </c>
      <c r="E55" s="42" t="e">
        <f>E44*'Model homes'!E139/100</f>
        <v>#VALUE!</v>
      </c>
      <c r="F55" s="42" t="e">
        <f>F44*'Model homes'!F139/100</f>
        <v>#VALUE!</v>
      </c>
      <c r="G55" s="42" t="e">
        <f>G44*'Model homes'!G139/100</f>
        <v>#VALUE!</v>
      </c>
      <c r="H55" s="42" t="e">
        <f>H44*'Model homes'!H139/100</f>
        <v>#VALUE!</v>
      </c>
      <c r="J55" s="26"/>
    </row>
    <row r="56" spans="3:12" x14ac:dyDescent="0.3">
      <c r="C56" s="14" t="s">
        <v>20</v>
      </c>
      <c r="D56" s="15" t="s">
        <v>299</v>
      </c>
      <c r="E56" s="42" t="e">
        <f>E45*'Model homes'!E140/100</f>
        <v>#VALUE!</v>
      </c>
      <c r="F56" s="42" t="e">
        <f>F45*'Model homes'!F140/100</f>
        <v>#VALUE!</v>
      </c>
      <c r="G56" s="42" t="e">
        <f>G45*'Model homes'!G140/100</f>
        <v>#VALUE!</v>
      </c>
      <c r="H56" s="42" t="e">
        <f>H45*'Model homes'!H140/100</f>
        <v>#VALUE!</v>
      </c>
      <c r="J56" s="26"/>
    </row>
    <row r="57" spans="3:12" x14ac:dyDescent="0.3">
      <c r="C57" s="14" t="s">
        <v>21</v>
      </c>
      <c r="D57" s="15" t="s">
        <v>299</v>
      </c>
      <c r="E57" s="42" t="e">
        <f>E46*'Model homes'!E141/100</f>
        <v>#VALUE!</v>
      </c>
      <c r="F57" s="42" t="e">
        <f>F46*'Model homes'!F141/100</f>
        <v>#VALUE!</v>
      </c>
      <c r="G57" s="42" t="e">
        <f>G46*'Model homes'!G141/100</f>
        <v>#VALUE!</v>
      </c>
      <c r="H57" s="42" t="e">
        <f>H46*'Model homes'!H141/100</f>
        <v>#VALUE!</v>
      </c>
      <c r="J57" s="26"/>
      <c r="K57" s="17" t="s">
        <v>478</v>
      </c>
      <c r="L57" s="17" t="s">
        <v>479</v>
      </c>
    </row>
    <row r="58" spans="3:12" x14ac:dyDescent="0.3">
      <c r="C58" s="14" t="s">
        <v>22</v>
      </c>
      <c r="D58" s="15" t="s">
        <v>299</v>
      </c>
      <c r="E58" s="42" t="e">
        <f>E47*'Model homes'!E142/100</f>
        <v>#VALUE!</v>
      </c>
      <c r="F58" s="42" t="e">
        <f>F47*'Model homes'!F142/100</f>
        <v>#VALUE!</v>
      </c>
      <c r="G58" s="42" t="e">
        <f>G47*'Model homes'!G142/100</f>
        <v>#VALUE!</v>
      </c>
      <c r="H58" s="42" t="e">
        <f>H47*'Model homes'!H142/100</f>
        <v>#VALUE!</v>
      </c>
      <c r="J58" s="45" t="e">
        <f>ROUND(MIN(E50:H58),0)&amp;" - "&amp;ROUND(MAX(E50:H58),0)</f>
        <v>#VALUE!</v>
      </c>
      <c r="K58" s="142" t="e">
        <f>AVERAGE(E50:H58)</f>
        <v>#VALUE!</v>
      </c>
      <c r="L58" s="45" t="e">
        <f>AVERAGEIFS($E$50:$H$58,$J$76:$M$84,"yes")</f>
        <v>#DIV/0!</v>
      </c>
    </row>
    <row r="59" spans="3:12" x14ac:dyDescent="0.3">
      <c r="C59" s="36"/>
      <c r="D59" s="15"/>
      <c r="E59" s="55"/>
      <c r="F59" s="55"/>
      <c r="G59" s="55"/>
      <c r="H59" s="55"/>
      <c r="J59" s="26"/>
    </row>
    <row r="60" spans="3:12" x14ac:dyDescent="0.3">
      <c r="C60" s="51" t="s">
        <v>517</v>
      </c>
      <c r="D60" s="84"/>
      <c r="E60" s="91"/>
      <c r="F60" s="91"/>
      <c r="G60" s="91"/>
      <c r="H60" s="91"/>
      <c r="J60" s="51" t="s">
        <v>509</v>
      </c>
    </row>
    <row r="61" spans="3:12" x14ac:dyDescent="0.3">
      <c r="C61" s="20" t="s">
        <v>14</v>
      </c>
      <c r="D61" s="15" t="s">
        <v>299</v>
      </c>
      <c r="E61" s="55" t="e">
        <f t="shared" ref="E61:H61" si="10">-PMT(E$35,E$36,E50*$J61)</f>
        <v>#VALUE!</v>
      </c>
      <c r="F61" s="55" t="e">
        <f t="shared" si="10"/>
        <v>#VALUE!</v>
      </c>
      <c r="G61" s="55" t="e">
        <f t="shared" si="10"/>
        <v>#VALUE!</v>
      </c>
      <c r="H61" s="55" t="e">
        <f t="shared" si="10"/>
        <v>#VALUE!</v>
      </c>
      <c r="J61" s="63">
        <f>(1-(((1+'Model homes'!E159)/(1+E$35))^E$36))/(E$35-'Model homes'!E159)</f>
        <v>9.0147165915491776</v>
      </c>
    </row>
    <row r="62" spans="3:12" x14ac:dyDescent="0.3">
      <c r="C62" s="14" t="s">
        <v>15</v>
      </c>
      <c r="D62" s="15" t="s">
        <v>299</v>
      </c>
      <c r="E62" s="55" t="e">
        <f t="shared" ref="E62:H62" si="11">-PMT(E$35,E$36,E51*$J62)</f>
        <v>#VALUE!</v>
      </c>
      <c r="F62" s="55" t="e">
        <f t="shared" si="11"/>
        <v>#VALUE!</v>
      </c>
      <c r="G62" s="55" t="e">
        <f t="shared" si="11"/>
        <v>#VALUE!</v>
      </c>
      <c r="H62" s="55" t="e">
        <f t="shared" si="11"/>
        <v>#VALUE!</v>
      </c>
      <c r="J62" s="63">
        <f>(1-(((1+'Model homes'!E160)/(1+E$35))^E$36))/(E$35-'Model homes'!E160)</f>
        <v>8.8245523926477656</v>
      </c>
    </row>
    <row r="63" spans="3:12" x14ac:dyDescent="0.3">
      <c r="C63" s="15" t="s">
        <v>16</v>
      </c>
      <c r="D63" s="15" t="s">
        <v>299</v>
      </c>
      <c r="E63" s="55" t="e">
        <f t="shared" ref="E63:H63" si="12">-PMT(E$35,E$36,E52*$J63)</f>
        <v>#VALUE!</v>
      </c>
      <c r="F63" s="55" t="e">
        <f t="shared" si="12"/>
        <v>#VALUE!</v>
      </c>
      <c r="G63" s="55" t="e">
        <f t="shared" si="12"/>
        <v>#VALUE!</v>
      </c>
      <c r="H63" s="55" t="e">
        <f t="shared" si="12"/>
        <v>#VALUE!</v>
      </c>
      <c r="J63" s="63">
        <f>(1-(((1+'Model homes'!E161)/(1+E$35))^E$36))/(E$35-'Model homes'!E161)</f>
        <v>9.0147165915491776</v>
      </c>
    </row>
    <row r="64" spans="3:12" x14ac:dyDescent="0.3">
      <c r="C64" s="15" t="s">
        <v>17</v>
      </c>
      <c r="D64" s="15" t="s">
        <v>299</v>
      </c>
      <c r="E64" s="55" t="e">
        <f t="shared" ref="E64:H64" si="13">-PMT(E$35,E$36,E53*$J64)</f>
        <v>#VALUE!</v>
      </c>
      <c r="F64" s="55" t="e">
        <f t="shared" si="13"/>
        <v>#VALUE!</v>
      </c>
      <c r="G64" s="55" t="e">
        <f t="shared" si="13"/>
        <v>#VALUE!</v>
      </c>
      <c r="H64" s="55" t="e">
        <f t="shared" si="13"/>
        <v>#VALUE!</v>
      </c>
      <c r="J64" s="63">
        <f>(1-(((1+'Model homes'!E162)/(1+E$35))^E$36))/(E$35-'Model homes'!E162)</f>
        <v>9.0147165915491776</v>
      </c>
    </row>
    <row r="65" spans="2:14" x14ac:dyDescent="0.3">
      <c r="C65" s="15" t="s">
        <v>18</v>
      </c>
      <c r="D65" s="15" t="s">
        <v>299</v>
      </c>
      <c r="E65" s="55" t="e">
        <f>-PMT(E$35,E$36,E54*$J65)</f>
        <v>#VALUE!</v>
      </c>
      <c r="F65" s="55" t="e">
        <f t="shared" ref="F65:H65" si="14">-PMT(F$35,F$36,F54*$J65)</f>
        <v>#VALUE!</v>
      </c>
      <c r="G65" s="55" t="e">
        <f t="shared" si="14"/>
        <v>#VALUE!</v>
      </c>
      <c r="H65" s="55" t="e">
        <f t="shared" si="14"/>
        <v>#VALUE!</v>
      </c>
      <c r="J65" s="63">
        <f>(1-(((1+'Model homes'!E163)/(1+E$35))^E$36))/(E$35-'Model homes'!E163)</f>
        <v>9.0147165915491776</v>
      </c>
    </row>
    <row r="66" spans="2:14" x14ac:dyDescent="0.3">
      <c r="C66" s="15" t="s">
        <v>19</v>
      </c>
      <c r="D66" s="15" t="s">
        <v>299</v>
      </c>
      <c r="E66" s="55" t="e">
        <f t="shared" ref="E66:H66" si="15">-PMT(E$35,E$36,E55*$J66)</f>
        <v>#VALUE!</v>
      </c>
      <c r="F66" s="55" t="e">
        <f t="shared" si="15"/>
        <v>#VALUE!</v>
      </c>
      <c r="G66" s="55" t="e">
        <f t="shared" si="15"/>
        <v>#VALUE!</v>
      </c>
      <c r="H66" s="55" t="e">
        <f t="shared" si="15"/>
        <v>#VALUE!</v>
      </c>
      <c r="J66" s="63">
        <f>(1-(((1+'Model homes'!E164)/(1+E$35))^E$36))/(E$35-'Model homes'!E164)</f>
        <v>9.0147165915491776</v>
      </c>
    </row>
    <row r="67" spans="2:14" x14ac:dyDescent="0.3">
      <c r="C67" s="14" t="s">
        <v>20</v>
      </c>
      <c r="D67" s="15" t="s">
        <v>299</v>
      </c>
      <c r="E67" s="55" t="e">
        <f t="shared" ref="E67:H67" si="16">-PMT(E$35,E$36,E56*$J67)</f>
        <v>#VALUE!</v>
      </c>
      <c r="F67" s="55" t="e">
        <f t="shared" si="16"/>
        <v>#VALUE!</v>
      </c>
      <c r="G67" s="55" t="e">
        <f t="shared" si="16"/>
        <v>#VALUE!</v>
      </c>
      <c r="H67" s="55" t="e">
        <f t="shared" si="16"/>
        <v>#VALUE!</v>
      </c>
      <c r="J67" s="63">
        <f>(1-(((1+'Model homes'!E165)/(1+E$35))^E$36))/(E$35-'Model homes'!E165)</f>
        <v>9.170401596707638</v>
      </c>
    </row>
    <row r="68" spans="2:14" x14ac:dyDescent="0.3">
      <c r="C68" s="14" t="s">
        <v>21</v>
      </c>
      <c r="D68" s="15" t="s">
        <v>299</v>
      </c>
      <c r="E68" s="55" t="e">
        <f t="shared" ref="E68:H68" si="17">-PMT(E$35,E$36,E57*$J68)</f>
        <v>#VALUE!</v>
      </c>
      <c r="F68" s="55" t="e">
        <f t="shared" si="17"/>
        <v>#VALUE!</v>
      </c>
      <c r="G68" s="55" t="e">
        <f t="shared" si="17"/>
        <v>#VALUE!</v>
      </c>
      <c r="H68" s="55" t="e">
        <f t="shared" si="17"/>
        <v>#VALUE!</v>
      </c>
      <c r="J68" s="63">
        <f>(1-(((1+'Model homes'!E166)/(1+E$35))^E$36))/(E$35-'Model homes'!E166)</f>
        <v>9.0147165915491776</v>
      </c>
    </row>
    <row r="69" spans="2:14" x14ac:dyDescent="0.3">
      <c r="C69" s="14" t="s">
        <v>22</v>
      </c>
      <c r="D69" s="15" t="s">
        <v>299</v>
      </c>
      <c r="E69" s="55" t="e">
        <f t="shared" ref="E69:H69" si="18">-PMT(E$35,E$36,E58*$J69)</f>
        <v>#VALUE!</v>
      </c>
      <c r="F69" s="55" t="e">
        <f t="shared" si="18"/>
        <v>#VALUE!</v>
      </c>
      <c r="G69" s="55" t="e">
        <f t="shared" si="18"/>
        <v>#VALUE!</v>
      </c>
      <c r="H69" s="55" t="e">
        <f t="shared" si="18"/>
        <v>#VALUE!</v>
      </c>
      <c r="J69" s="63">
        <f>(1-(((1+'Model homes'!E167)/(1+E$35))^E$36))/(E$35-'Model homes'!E167)</f>
        <v>9.0147165915491776</v>
      </c>
    </row>
    <row r="70" spans="2:14" x14ac:dyDescent="0.3">
      <c r="C70" s="20"/>
      <c r="D70" s="15"/>
      <c r="E70" s="42"/>
      <c r="F70" s="55"/>
      <c r="G70" s="42"/>
      <c r="H70" s="42"/>
      <c r="J70" s="26"/>
    </row>
    <row r="71" spans="2:14" ht="20.25" x14ac:dyDescent="0.35">
      <c r="C71" s="81" t="s">
        <v>518</v>
      </c>
      <c r="D71" s="46"/>
      <c r="E71" s="55"/>
      <c r="F71" s="55"/>
      <c r="G71" s="55"/>
      <c r="H71" s="55"/>
      <c r="J71" s="26"/>
    </row>
    <row r="72" spans="2:14" s="18" customFormat="1" ht="17.25" thickBot="1" x14ac:dyDescent="0.35">
      <c r="B72" s="19" t="s">
        <v>153</v>
      </c>
      <c r="C72" s="19" t="s">
        <v>154</v>
      </c>
      <c r="D72" s="19" t="s">
        <v>32</v>
      </c>
      <c r="E72" s="19" t="s">
        <v>155</v>
      </c>
      <c r="F72" s="19"/>
      <c r="G72" s="19" t="s">
        <v>155</v>
      </c>
      <c r="H72" s="19"/>
      <c r="I72" s="19"/>
      <c r="J72" s="56" t="s">
        <v>156</v>
      </c>
      <c r="K72" s="56"/>
    </row>
    <row r="73" spans="2:14" s="30" customFormat="1" ht="18" thickTop="1" thickBot="1" x14ac:dyDescent="0.35">
      <c r="B73" s="28"/>
      <c r="C73" s="29" t="s">
        <v>157</v>
      </c>
      <c r="D73" s="29"/>
      <c r="E73" s="335" t="s">
        <v>5</v>
      </c>
      <c r="F73" s="335"/>
      <c r="G73" s="335" t="s">
        <v>6</v>
      </c>
      <c r="H73" s="335"/>
      <c r="I73" s="28"/>
      <c r="J73" s="28"/>
      <c r="K73" s="57"/>
      <c r="M73" s="20"/>
    </row>
    <row r="74" spans="2:14" ht="18" thickTop="1" thickBot="1" x14ac:dyDescent="0.35">
      <c r="B74" s="19"/>
      <c r="C74" s="29" t="s">
        <v>158</v>
      </c>
      <c r="D74" s="29"/>
      <c r="E74" s="29" t="s">
        <v>7</v>
      </c>
      <c r="F74" s="29" t="s">
        <v>8</v>
      </c>
      <c r="G74" s="29" t="s">
        <v>7</v>
      </c>
      <c r="H74" s="29" t="s">
        <v>8</v>
      </c>
      <c r="I74" s="19"/>
      <c r="J74" s="19"/>
      <c r="K74" s="56"/>
      <c r="M74" s="82"/>
      <c r="N74" s="82"/>
    </row>
    <row r="75" spans="2:14" ht="17.25" thickTop="1" x14ac:dyDescent="0.3">
      <c r="C75" s="51" t="s">
        <v>519</v>
      </c>
      <c r="D75" s="84"/>
      <c r="E75" s="90"/>
      <c r="F75" s="90"/>
      <c r="G75" s="90"/>
      <c r="H75" s="90"/>
      <c r="J75" s="20" t="s">
        <v>520</v>
      </c>
    </row>
    <row r="76" spans="2:14" x14ac:dyDescent="0.3">
      <c r="C76" s="20" t="s">
        <v>14</v>
      </c>
      <c r="D76" s="84" t="s">
        <v>512</v>
      </c>
      <c r="E76" s="97" t="e">
        <f t="shared" ref="E76:H84" si="19">IF(E$29/(E50-E$31)&lt;0,"-",E$29/(E50-E$31))</f>
        <v>#VALUE!</v>
      </c>
      <c r="F76" s="97" t="e">
        <f t="shared" si="19"/>
        <v>#VALUE!</v>
      </c>
      <c r="G76" s="97" t="e">
        <f t="shared" si="19"/>
        <v>#VALUE!</v>
      </c>
      <c r="H76" s="97" t="e">
        <f t="shared" si="19"/>
        <v>#VALUE!</v>
      </c>
      <c r="I76" s="97"/>
      <c r="J76" s="42" t="e">
        <f>IF(E76&lt;E$36,"yes","no")</f>
        <v>#VALUE!</v>
      </c>
      <c r="K76" s="42" t="e">
        <f t="shared" ref="K76:M76" si="20">IF(F76&lt;F$36,"yes","no")</f>
        <v>#VALUE!</v>
      </c>
      <c r="L76" s="42" t="e">
        <f t="shared" si="20"/>
        <v>#VALUE!</v>
      </c>
      <c r="M76" s="42" t="e">
        <f t="shared" si="20"/>
        <v>#VALUE!</v>
      </c>
    </row>
    <row r="77" spans="2:14" x14ac:dyDescent="0.3">
      <c r="C77" s="14" t="s">
        <v>15</v>
      </c>
      <c r="D77" s="84" t="s">
        <v>512</v>
      </c>
      <c r="E77" s="97" t="e">
        <f t="shared" si="19"/>
        <v>#VALUE!</v>
      </c>
      <c r="F77" s="97" t="e">
        <f t="shared" si="19"/>
        <v>#VALUE!</v>
      </c>
      <c r="G77" s="97" t="e">
        <f t="shared" si="19"/>
        <v>#VALUE!</v>
      </c>
      <c r="H77" s="97" t="e">
        <f t="shared" si="19"/>
        <v>#VALUE!</v>
      </c>
      <c r="I77" s="97"/>
      <c r="J77" s="42" t="e">
        <f t="shared" ref="J77:J84" si="21">IF(E77&lt;E$36,"yes","no")</f>
        <v>#VALUE!</v>
      </c>
      <c r="K77" s="42" t="e">
        <f t="shared" ref="K77:K84" si="22">IF(F77&lt;F$36,"yes","no")</f>
        <v>#VALUE!</v>
      </c>
      <c r="L77" s="42" t="e">
        <f t="shared" ref="L77:L84" si="23">IF(G77&lt;G$36,"yes","no")</f>
        <v>#VALUE!</v>
      </c>
      <c r="M77" s="42" t="e">
        <f t="shared" ref="M77:M84" si="24">IF(H77&lt;H$36,"yes","no")</f>
        <v>#VALUE!</v>
      </c>
    </row>
    <row r="78" spans="2:14" x14ac:dyDescent="0.3">
      <c r="C78" s="15" t="s">
        <v>16</v>
      </c>
      <c r="D78" s="84" t="s">
        <v>512</v>
      </c>
      <c r="E78" s="97" t="e">
        <f t="shared" si="19"/>
        <v>#VALUE!</v>
      </c>
      <c r="F78" s="97" t="e">
        <f t="shared" si="19"/>
        <v>#VALUE!</v>
      </c>
      <c r="G78" s="97" t="e">
        <f t="shared" si="19"/>
        <v>#VALUE!</v>
      </c>
      <c r="H78" s="97" t="e">
        <f t="shared" si="19"/>
        <v>#VALUE!</v>
      </c>
      <c r="I78" s="97"/>
      <c r="J78" s="42" t="e">
        <f t="shared" si="21"/>
        <v>#VALUE!</v>
      </c>
      <c r="K78" s="42" t="e">
        <f t="shared" si="22"/>
        <v>#VALUE!</v>
      </c>
      <c r="L78" s="42" t="e">
        <f t="shared" si="23"/>
        <v>#VALUE!</v>
      </c>
      <c r="M78" s="42" t="e">
        <f t="shared" si="24"/>
        <v>#VALUE!</v>
      </c>
    </row>
    <row r="79" spans="2:14" x14ac:dyDescent="0.3">
      <c r="C79" s="15" t="s">
        <v>17</v>
      </c>
      <c r="D79" s="84" t="s">
        <v>512</v>
      </c>
      <c r="E79" s="97" t="e">
        <f t="shared" si="19"/>
        <v>#VALUE!</v>
      </c>
      <c r="F79" s="97" t="e">
        <f t="shared" si="19"/>
        <v>#VALUE!</v>
      </c>
      <c r="G79" s="97" t="e">
        <f t="shared" si="19"/>
        <v>#VALUE!</v>
      </c>
      <c r="H79" s="97" t="e">
        <f t="shared" si="19"/>
        <v>#VALUE!</v>
      </c>
      <c r="I79" s="97"/>
      <c r="J79" s="42" t="e">
        <f t="shared" si="21"/>
        <v>#VALUE!</v>
      </c>
      <c r="K79" s="42" t="e">
        <f t="shared" si="22"/>
        <v>#VALUE!</v>
      </c>
      <c r="L79" s="42" t="e">
        <f t="shared" si="23"/>
        <v>#VALUE!</v>
      </c>
      <c r="M79" s="42" t="e">
        <f t="shared" si="24"/>
        <v>#VALUE!</v>
      </c>
    </row>
    <row r="80" spans="2:14" x14ac:dyDescent="0.3">
      <c r="C80" s="15" t="s">
        <v>18</v>
      </c>
      <c r="D80" s="84" t="s">
        <v>512</v>
      </c>
      <c r="E80" s="97" t="e">
        <f t="shared" si="19"/>
        <v>#VALUE!</v>
      </c>
      <c r="F80" s="97" t="e">
        <f t="shared" si="19"/>
        <v>#VALUE!</v>
      </c>
      <c r="G80" s="97" t="e">
        <f t="shared" si="19"/>
        <v>#VALUE!</v>
      </c>
      <c r="H80" s="97" t="e">
        <f t="shared" si="19"/>
        <v>#VALUE!</v>
      </c>
      <c r="I80" s="97"/>
      <c r="J80" s="42" t="e">
        <f t="shared" si="21"/>
        <v>#VALUE!</v>
      </c>
      <c r="K80" s="42" t="e">
        <f t="shared" si="22"/>
        <v>#VALUE!</v>
      </c>
      <c r="L80" s="42" t="e">
        <f t="shared" si="23"/>
        <v>#VALUE!</v>
      </c>
      <c r="M80" s="42" t="e">
        <f t="shared" si="24"/>
        <v>#VALUE!</v>
      </c>
    </row>
    <row r="81" spans="3:20" x14ac:dyDescent="0.3">
      <c r="C81" s="15" t="s">
        <v>19</v>
      </c>
      <c r="D81" s="84" t="s">
        <v>512</v>
      </c>
      <c r="E81" s="97" t="e">
        <f t="shared" si="19"/>
        <v>#VALUE!</v>
      </c>
      <c r="F81" s="97" t="e">
        <f t="shared" si="19"/>
        <v>#VALUE!</v>
      </c>
      <c r="G81" s="97" t="e">
        <f t="shared" si="19"/>
        <v>#VALUE!</v>
      </c>
      <c r="H81" s="97" t="e">
        <f t="shared" si="19"/>
        <v>#VALUE!</v>
      </c>
      <c r="I81" s="97"/>
      <c r="J81" s="42" t="e">
        <f t="shared" si="21"/>
        <v>#VALUE!</v>
      </c>
      <c r="K81" s="42" t="e">
        <f t="shared" si="22"/>
        <v>#VALUE!</v>
      </c>
      <c r="L81" s="42" t="e">
        <f t="shared" si="23"/>
        <v>#VALUE!</v>
      </c>
      <c r="M81" s="42" t="e">
        <f t="shared" si="24"/>
        <v>#VALUE!</v>
      </c>
    </row>
    <row r="82" spans="3:20" x14ac:dyDescent="0.3">
      <c r="C82" s="14" t="s">
        <v>20</v>
      </c>
      <c r="D82" s="84" t="s">
        <v>512</v>
      </c>
      <c r="E82" s="97" t="e">
        <f t="shared" si="19"/>
        <v>#VALUE!</v>
      </c>
      <c r="F82" s="97" t="e">
        <f t="shared" si="19"/>
        <v>#VALUE!</v>
      </c>
      <c r="G82" s="97" t="e">
        <f t="shared" si="19"/>
        <v>#VALUE!</v>
      </c>
      <c r="H82" s="97" t="e">
        <f t="shared" si="19"/>
        <v>#VALUE!</v>
      </c>
      <c r="I82" s="97"/>
      <c r="J82" s="42" t="e">
        <f t="shared" si="21"/>
        <v>#VALUE!</v>
      </c>
      <c r="K82" s="42" t="e">
        <f t="shared" si="22"/>
        <v>#VALUE!</v>
      </c>
      <c r="L82" s="42" t="e">
        <f t="shared" si="23"/>
        <v>#VALUE!</v>
      </c>
      <c r="M82" s="42" t="e">
        <f t="shared" si="24"/>
        <v>#VALUE!</v>
      </c>
    </row>
    <row r="83" spans="3:20" x14ac:dyDescent="0.3">
      <c r="C83" s="14" t="s">
        <v>21</v>
      </c>
      <c r="D83" s="84" t="s">
        <v>512</v>
      </c>
      <c r="E83" s="97" t="e">
        <f t="shared" si="19"/>
        <v>#VALUE!</v>
      </c>
      <c r="F83" s="97" t="e">
        <f t="shared" si="19"/>
        <v>#VALUE!</v>
      </c>
      <c r="G83" s="97" t="e">
        <f t="shared" si="19"/>
        <v>#VALUE!</v>
      </c>
      <c r="H83" s="97" t="e">
        <f t="shared" si="19"/>
        <v>#VALUE!</v>
      </c>
      <c r="I83" s="97"/>
      <c r="J83" s="42" t="e">
        <f t="shared" si="21"/>
        <v>#VALUE!</v>
      </c>
      <c r="K83" s="42" t="e">
        <f t="shared" si="22"/>
        <v>#VALUE!</v>
      </c>
      <c r="L83" s="42" t="e">
        <f t="shared" si="23"/>
        <v>#VALUE!</v>
      </c>
      <c r="M83" s="42" t="e">
        <f t="shared" si="24"/>
        <v>#VALUE!</v>
      </c>
      <c r="O83" s="17" t="s">
        <v>7</v>
      </c>
      <c r="P83" s="17" t="s">
        <v>8</v>
      </c>
    </row>
    <row r="84" spans="3:20" x14ac:dyDescent="0.3">
      <c r="C84" s="14" t="s">
        <v>22</v>
      </c>
      <c r="D84" s="84" t="s">
        <v>512</v>
      </c>
      <c r="E84" s="97" t="e">
        <f t="shared" si="19"/>
        <v>#VALUE!</v>
      </c>
      <c r="F84" s="97" t="e">
        <f t="shared" si="19"/>
        <v>#VALUE!</v>
      </c>
      <c r="G84" s="97" t="e">
        <f t="shared" si="19"/>
        <v>#VALUE!</v>
      </c>
      <c r="H84" s="97" t="e">
        <f t="shared" si="19"/>
        <v>#VALUE!</v>
      </c>
      <c r="I84" s="97"/>
      <c r="J84" s="42" t="e">
        <f t="shared" si="21"/>
        <v>#VALUE!</v>
      </c>
      <c r="K84" s="42" t="e">
        <f t="shared" si="22"/>
        <v>#VALUE!</v>
      </c>
      <c r="L84" s="42" t="e">
        <f t="shared" si="23"/>
        <v>#VALUE!</v>
      </c>
      <c r="M84" s="42" t="e">
        <f t="shared" si="24"/>
        <v>#VALUE!</v>
      </c>
      <c r="O84" s="17" t="str">
        <f>IF((COUNTIF(J76:J84,"yes")+COUNTIF(L76:L84,"yes"))&gt;=(COUNTIF(J76:J84,"no")+COUNTIF(L76:L84,"no")),"yes","no")</f>
        <v>yes</v>
      </c>
      <c r="P84" s="17" t="str">
        <f>IF((COUNTIF(K76:K84,"yes")+COUNTIF(M76:M84,"yes"))&gt;=(COUNTIF(K76:K84,"no")+COUNTIF(M76:M84,"no")),"yes","no")</f>
        <v>yes</v>
      </c>
      <c r="R84" s="42"/>
      <c r="S84" s="42"/>
      <c r="T84" s="42"/>
    </row>
    <row r="85" spans="3:20" x14ac:dyDescent="0.3">
      <c r="C85" s="36"/>
      <c r="D85" s="96"/>
      <c r="E85" s="55"/>
      <c r="F85" s="55"/>
      <c r="G85" s="55"/>
      <c r="H85" s="55"/>
      <c r="J85" s="26"/>
      <c r="R85" s="55"/>
      <c r="S85" s="55"/>
      <c r="T85" s="55"/>
    </row>
    <row r="86" spans="3:20" x14ac:dyDescent="0.3">
      <c r="C86" s="51" t="s">
        <v>521</v>
      </c>
      <c r="D86" s="84"/>
      <c r="E86" s="90"/>
      <c r="F86" s="90"/>
      <c r="G86" s="90"/>
      <c r="H86" s="90"/>
      <c r="J86" s="20" t="s">
        <v>520</v>
      </c>
    </row>
    <row r="87" spans="3:20" x14ac:dyDescent="0.3">
      <c r="C87" s="20" t="s">
        <v>14</v>
      </c>
      <c r="D87" s="84" t="s">
        <v>512</v>
      </c>
      <c r="E87" s="97" t="e">
        <f t="shared" ref="E87:H95" si="25">IF((E$29)/(E61-E$34)&lt;0,"-",(E$29)/(E61-E$34))</f>
        <v>#VALUE!</v>
      </c>
      <c r="F87" s="97" t="e">
        <f t="shared" si="25"/>
        <v>#VALUE!</v>
      </c>
      <c r="G87" s="97" t="e">
        <f t="shared" si="25"/>
        <v>#VALUE!</v>
      </c>
      <c r="H87" s="97" t="e">
        <f t="shared" si="25"/>
        <v>#VALUE!</v>
      </c>
      <c r="J87" s="42" t="e">
        <f>IF(E87&lt;E$36,"yes","no")</f>
        <v>#VALUE!</v>
      </c>
      <c r="K87" s="42" t="e">
        <f t="shared" ref="K87:M87" si="26">IF(F87&lt;F$36,"yes","no")</f>
        <v>#VALUE!</v>
      </c>
      <c r="L87" s="42" t="e">
        <f t="shared" si="26"/>
        <v>#VALUE!</v>
      </c>
      <c r="M87" s="42" t="e">
        <f t="shared" si="26"/>
        <v>#VALUE!</v>
      </c>
    </row>
    <row r="88" spans="3:20" x14ac:dyDescent="0.3">
      <c r="C88" s="14" t="s">
        <v>15</v>
      </c>
      <c r="D88" s="84" t="s">
        <v>512</v>
      </c>
      <c r="E88" s="97" t="e">
        <f t="shared" si="25"/>
        <v>#VALUE!</v>
      </c>
      <c r="F88" s="97" t="e">
        <f t="shared" si="25"/>
        <v>#VALUE!</v>
      </c>
      <c r="G88" s="97" t="e">
        <f t="shared" si="25"/>
        <v>#VALUE!</v>
      </c>
      <c r="H88" s="97" t="e">
        <f t="shared" si="25"/>
        <v>#VALUE!</v>
      </c>
      <c r="J88" s="42" t="e">
        <f t="shared" ref="J88:J94" si="27">IF(E88&lt;E$36,"yes","no")</f>
        <v>#VALUE!</v>
      </c>
      <c r="K88" s="42" t="e">
        <f t="shared" ref="K88:K95" si="28">IF(F88&lt;F$36,"yes","no")</f>
        <v>#VALUE!</v>
      </c>
      <c r="L88" s="42" t="e">
        <f t="shared" ref="L88:L95" si="29">IF(G88&lt;G$36,"yes","no")</f>
        <v>#VALUE!</v>
      </c>
      <c r="M88" s="42" t="e">
        <f t="shared" ref="M88:M95" si="30">IF(H88&lt;H$36,"yes","no")</f>
        <v>#VALUE!</v>
      </c>
    </row>
    <row r="89" spans="3:20" x14ac:dyDescent="0.3">
      <c r="C89" s="15" t="s">
        <v>16</v>
      </c>
      <c r="D89" s="84" t="s">
        <v>512</v>
      </c>
      <c r="E89" s="97" t="e">
        <f t="shared" si="25"/>
        <v>#VALUE!</v>
      </c>
      <c r="F89" s="97" t="e">
        <f t="shared" si="25"/>
        <v>#VALUE!</v>
      </c>
      <c r="G89" s="97" t="e">
        <f t="shared" si="25"/>
        <v>#VALUE!</v>
      </c>
      <c r="H89" s="97" t="e">
        <f t="shared" si="25"/>
        <v>#VALUE!</v>
      </c>
      <c r="J89" s="42" t="e">
        <f t="shared" si="27"/>
        <v>#VALUE!</v>
      </c>
      <c r="K89" s="42" t="e">
        <f t="shared" si="28"/>
        <v>#VALUE!</v>
      </c>
      <c r="L89" s="42" t="e">
        <f t="shared" si="29"/>
        <v>#VALUE!</v>
      </c>
      <c r="M89" s="42" t="e">
        <f t="shared" si="30"/>
        <v>#VALUE!</v>
      </c>
    </row>
    <row r="90" spans="3:20" x14ac:dyDescent="0.3">
      <c r="C90" s="15" t="s">
        <v>17</v>
      </c>
      <c r="D90" s="84" t="s">
        <v>512</v>
      </c>
      <c r="E90" s="97" t="e">
        <f t="shared" si="25"/>
        <v>#VALUE!</v>
      </c>
      <c r="F90" s="97" t="e">
        <f t="shared" si="25"/>
        <v>#VALUE!</v>
      </c>
      <c r="G90" s="97" t="e">
        <f t="shared" si="25"/>
        <v>#VALUE!</v>
      </c>
      <c r="H90" s="97" t="e">
        <f t="shared" si="25"/>
        <v>#VALUE!</v>
      </c>
      <c r="J90" s="42" t="e">
        <f t="shared" si="27"/>
        <v>#VALUE!</v>
      </c>
      <c r="K90" s="42" t="e">
        <f t="shared" si="28"/>
        <v>#VALUE!</v>
      </c>
      <c r="L90" s="42" t="e">
        <f t="shared" si="29"/>
        <v>#VALUE!</v>
      </c>
      <c r="M90" s="42" t="e">
        <f t="shared" si="30"/>
        <v>#VALUE!</v>
      </c>
    </row>
    <row r="91" spans="3:20" x14ac:dyDescent="0.3">
      <c r="C91" s="15" t="s">
        <v>18</v>
      </c>
      <c r="D91" s="84" t="s">
        <v>512</v>
      </c>
      <c r="E91" s="97" t="e">
        <f t="shared" si="25"/>
        <v>#VALUE!</v>
      </c>
      <c r="F91" s="97" t="e">
        <f t="shared" si="25"/>
        <v>#VALUE!</v>
      </c>
      <c r="G91" s="97" t="e">
        <f t="shared" si="25"/>
        <v>#VALUE!</v>
      </c>
      <c r="H91" s="97" t="e">
        <f t="shared" si="25"/>
        <v>#VALUE!</v>
      </c>
      <c r="J91" s="42" t="e">
        <f t="shared" si="27"/>
        <v>#VALUE!</v>
      </c>
      <c r="K91" s="42" t="e">
        <f t="shared" si="28"/>
        <v>#VALUE!</v>
      </c>
      <c r="L91" s="42" t="e">
        <f t="shared" si="29"/>
        <v>#VALUE!</v>
      </c>
      <c r="M91" s="42" t="e">
        <f t="shared" si="30"/>
        <v>#VALUE!</v>
      </c>
    </row>
    <row r="92" spans="3:20" x14ac:dyDescent="0.3">
      <c r="C92" s="15" t="s">
        <v>19</v>
      </c>
      <c r="D92" s="84" t="s">
        <v>512</v>
      </c>
      <c r="E92" s="97" t="e">
        <f t="shared" si="25"/>
        <v>#VALUE!</v>
      </c>
      <c r="F92" s="97" t="e">
        <f t="shared" si="25"/>
        <v>#VALUE!</v>
      </c>
      <c r="G92" s="97" t="e">
        <f t="shared" si="25"/>
        <v>#VALUE!</v>
      </c>
      <c r="H92" s="97" t="e">
        <f t="shared" si="25"/>
        <v>#VALUE!</v>
      </c>
      <c r="J92" s="42" t="e">
        <f t="shared" si="27"/>
        <v>#VALUE!</v>
      </c>
      <c r="K92" s="42" t="e">
        <f t="shared" si="28"/>
        <v>#VALUE!</v>
      </c>
      <c r="L92" s="42" t="e">
        <f t="shared" si="29"/>
        <v>#VALUE!</v>
      </c>
      <c r="M92" s="42" t="e">
        <f t="shared" si="30"/>
        <v>#VALUE!</v>
      </c>
    </row>
    <row r="93" spans="3:20" x14ac:dyDescent="0.3">
      <c r="C93" s="14" t="s">
        <v>20</v>
      </c>
      <c r="D93" s="84" t="s">
        <v>512</v>
      </c>
      <c r="E93" s="97" t="e">
        <f t="shared" si="25"/>
        <v>#VALUE!</v>
      </c>
      <c r="F93" s="97" t="e">
        <f t="shared" si="25"/>
        <v>#VALUE!</v>
      </c>
      <c r="G93" s="97" t="e">
        <f t="shared" si="25"/>
        <v>#VALUE!</v>
      </c>
      <c r="H93" s="97" t="e">
        <f t="shared" si="25"/>
        <v>#VALUE!</v>
      </c>
      <c r="J93" s="42" t="e">
        <f t="shared" si="27"/>
        <v>#VALUE!</v>
      </c>
      <c r="K93" s="42" t="e">
        <f t="shared" si="28"/>
        <v>#VALUE!</v>
      </c>
      <c r="L93" s="42" t="e">
        <f t="shared" si="29"/>
        <v>#VALUE!</v>
      </c>
      <c r="M93" s="42" t="e">
        <f t="shared" si="30"/>
        <v>#VALUE!</v>
      </c>
    </row>
    <row r="94" spans="3:20" x14ac:dyDescent="0.3">
      <c r="C94" s="14" t="s">
        <v>21</v>
      </c>
      <c r="D94" s="84" t="s">
        <v>512</v>
      </c>
      <c r="E94" s="97" t="e">
        <f t="shared" si="25"/>
        <v>#VALUE!</v>
      </c>
      <c r="F94" s="97" t="e">
        <f t="shared" si="25"/>
        <v>#VALUE!</v>
      </c>
      <c r="G94" s="97" t="e">
        <f t="shared" si="25"/>
        <v>#VALUE!</v>
      </c>
      <c r="H94" s="97" t="e">
        <f t="shared" si="25"/>
        <v>#VALUE!</v>
      </c>
      <c r="J94" s="42" t="e">
        <f t="shared" si="27"/>
        <v>#VALUE!</v>
      </c>
      <c r="K94" s="42" t="e">
        <f t="shared" si="28"/>
        <v>#VALUE!</v>
      </c>
      <c r="L94" s="42" t="e">
        <f t="shared" si="29"/>
        <v>#VALUE!</v>
      </c>
      <c r="M94" s="42" t="e">
        <f t="shared" si="30"/>
        <v>#VALUE!</v>
      </c>
    </row>
    <row r="95" spans="3:20" x14ac:dyDescent="0.3">
      <c r="C95" s="14" t="s">
        <v>22</v>
      </c>
      <c r="D95" s="84" t="s">
        <v>512</v>
      </c>
      <c r="E95" s="97" t="e">
        <f t="shared" si="25"/>
        <v>#VALUE!</v>
      </c>
      <c r="F95" s="97" t="e">
        <f t="shared" si="25"/>
        <v>#VALUE!</v>
      </c>
      <c r="G95" s="97" t="e">
        <f t="shared" si="25"/>
        <v>#VALUE!</v>
      </c>
      <c r="H95" s="97" t="e">
        <f t="shared" si="25"/>
        <v>#VALUE!</v>
      </c>
      <c r="J95" s="42" t="e">
        <f>IF(E95&lt;E$36,"yes","no")</f>
        <v>#VALUE!</v>
      </c>
      <c r="K95" s="42" t="e">
        <f t="shared" si="28"/>
        <v>#VALUE!</v>
      </c>
      <c r="L95" s="42" t="e">
        <f t="shared" si="29"/>
        <v>#VALUE!</v>
      </c>
      <c r="M95" s="42" t="e">
        <f t="shared" si="30"/>
        <v>#VALUE!</v>
      </c>
    </row>
    <row r="97" spans="3:40" x14ac:dyDescent="0.3">
      <c r="C97" s="51" t="s">
        <v>522</v>
      </c>
      <c r="D97" s="84"/>
      <c r="E97" s="90"/>
      <c r="F97" s="90"/>
      <c r="G97" s="90"/>
      <c r="H97" s="90"/>
      <c r="J97" s="51" t="s">
        <v>523</v>
      </c>
      <c r="R97" s="51" t="s">
        <v>524</v>
      </c>
      <c r="Z97" s="51" t="s">
        <v>525</v>
      </c>
      <c r="AH97" s="51" t="s">
        <v>526</v>
      </c>
    </row>
    <row r="98" spans="3:40" ht="15.95" customHeight="1" x14ac:dyDescent="0.3">
      <c r="C98" s="20" t="s">
        <v>14</v>
      </c>
      <c r="D98" s="84" t="s">
        <v>527</v>
      </c>
      <c r="E98" s="130" t="e">
        <f>E39*'Model homes'!$J110*10^-6</f>
        <v>#VALUE!</v>
      </c>
      <c r="F98" s="130" t="e">
        <f>F39*'Model homes'!$J110*10^-6</f>
        <v>#VALUE!</v>
      </c>
      <c r="G98" s="130" t="e">
        <f>G39*'Model homes'!$J110*10^-6</f>
        <v>#VALUE!</v>
      </c>
      <c r="H98" s="130" t="e">
        <f>H39*'Model homes'!$J110*10^-6</f>
        <v>#VALUE!</v>
      </c>
      <c r="J98" s="209" t="s">
        <v>14</v>
      </c>
      <c r="L98" s="207" t="s">
        <v>528</v>
      </c>
      <c r="M98" s="130" t="e">
        <f>'Model homes'!$E274*E39*10^-6</f>
        <v>#DIV/0!</v>
      </c>
      <c r="N98" s="130" t="e">
        <f>'Model homes'!$E274*F39*10^-6</f>
        <v>#DIV/0!</v>
      </c>
      <c r="O98" s="130" t="e">
        <f>'Model homes'!$E274*G39*10^-6</f>
        <v>#DIV/0!</v>
      </c>
      <c r="P98" s="130" t="e">
        <f>'Model homes'!$E274*H39*10^-6</f>
        <v>#DIV/0!</v>
      </c>
      <c r="R98" s="209" t="s">
        <v>14</v>
      </c>
      <c r="T98" s="207" t="s">
        <v>529</v>
      </c>
      <c r="U98" s="130" t="e">
        <f>'Model homes'!$F274*E39*10^-6</f>
        <v>#DIV/0!</v>
      </c>
      <c r="V98" s="130" t="e">
        <f>'Model homes'!$F274*F39*10^-6</f>
        <v>#DIV/0!</v>
      </c>
      <c r="W98" s="130" t="e">
        <f>'Model homes'!$F274*G39*10^-6</f>
        <v>#DIV/0!</v>
      </c>
      <c r="X98" s="130" t="e">
        <f>'Model homes'!$F274*H39*10^-6</f>
        <v>#DIV/0!</v>
      </c>
      <c r="Z98" s="209" t="s">
        <v>14</v>
      </c>
      <c r="AB98" s="207" t="s">
        <v>530</v>
      </c>
      <c r="AC98" s="130" t="e">
        <f>'Model homes'!$G274*E39*10^-6</f>
        <v>#DIV/0!</v>
      </c>
      <c r="AD98" s="130" t="e">
        <f>'Model homes'!$G274*F39*10^-6</f>
        <v>#DIV/0!</v>
      </c>
      <c r="AE98" s="130" t="e">
        <f>'Model homes'!$G274*G39*10^-6</f>
        <v>#DIV/0!</v>
      </c>
      <c r="AF98" s="130" t="e">
        <f>'Model homes'!$G274*H39*10^-6</f>
        <v>#DIV/0!</v>
      </c>
      <c r="AH98" s="209" t="s">
        <v>14</v>
      </c>
      <c r="AJ98" s="207" t="s">
        <v>531</v>
      </c>
      <c r="AK98" s="130" t="e">
        <f>'Model homes'!$H274*E39*10^-6</f>
        <v>#DIV/0!</v>
      </c>
      <c r="AL98" s="130" t="e">
        <f>'Model homes'!$H274*F39*10^-6</f>
        <v>#DIV/0!</v>
      </c>
      <c r="AM98" s="130" t="e">
        <f>'Model homes'!$H274*G39*10^-6</f>
        <v>#DIV/0!</v>
      </c>
      <c r="AN98" s="130" t="e">
        <f>'Model homes'!$H274*H39*10^-6</f>
        <v>#DIV/0!</v>
      </c>
    </row>
    <row r="99" spans="3:40" ht="15.95" customHeight="1" x14ac:dyDescent="0.3">
      <c r="C99" s="14" t="s">
        <v>15</v>
      </c>
      <c r="D99" s="84" t="s">
        <v>527</v>
      </c>
      <c r="E99" s="130">
        <f>E40*'Model homes'!$J111*10^-6</f>
        <v>0</v>
      </c>
      <c r="F99" s="130">
        <f>F40*'Model homes'!$J111*10^-6</f>
        <v>0</v>
      </c>
      <c r="G99" s="130">
        <f>G40*'Model homes'!$J111*10^-6</f>
        <v>0</v>
      </c>
      <c r="H99" s="130">
        <f>H40*'Model homes'!$J111*10^-6</f>
        <v>0</v>
      </c>
      <c r="J99" s="213" t="s">
        <v>15</v>
      </c>
      <c r="L99" s="207" t="s">
        <v>528</v>
      </c>
      <c r="M99" s="130">
        <f>'Model homes'!$E275*E40*10^-6</f>
        <v>1.6009704841846146E-5</v>
      </c>
      <c r="N99" s="130">
        <f>'Model homes'!$E275*F40*10^-6</f>
        <v>1.4866154495999996E-5</v>
      </c>
      <c r="O99" s="130">
        <f>'Model homes'!$E275*G40*10^-6</f>
        <v>1.7396641418507457E-5</v>
      </c>
      <c r="P99" s="130">
        <f>'Model homes'!$E275*H40*10^-6</f>
        <v>1.6651071071999997E-5</v>
      </c>
      <c r="R99" s="213" t="s">
        <v>15</v>
      </c>
      <c r="T99" s="207" t="s">
        <v>529</v>
      </c>
      <c r="U99" s="130">
        <f>'Model homes'!$F275*E40*10^-6</f>
        <v>2.4815042504861527E-4</v>
      </c>
      <c r="V99" s="130">
        <f>'Model homes'!$F275*F40*10^-6</f>
        <v>2.3042539468799995E-4</v>
      </c>
      <c r="W99" s="130">
        <f>'Model homes'!$F275*G40*10^-6</f>
        <v>2.696479419868656E-4</v>
      </c>
      <c r="X99" s="130">
        <f>'Model homes'!$F275*H40*10^-6</f>
        <v>2.5809160161599992E-4</v>
      </c>
      <c r="Z99" s="213" t="s">
        <v>15</v>
      </c>
      <c r="AB99" s="207" t="s">
        <v>530</v>
      </c>
      <c r="AC99" s="130">
        <f>'Model homes'!$G275*E40*10^-6</f>
        <v>5.6033966946461523E-5</v>
      </c>
      <c r="AD99" s="130">
        <f>'Model homes'!$G275*F40*10^-6</f>
        <v>5.2031540735999993E-5</v>
      </c>
      <c r="AE99" s="130">
        <f>'Model homes'!$G275*G40*10^-6</f>
        <v>6.0888244964776102E-5</v>
      </c>
      <c r="AF99" s="130">
        <f>'Model homes'!$G275*H40*10^-6</f>
        <v>5.8278748751999997E-5</v>
      </c>
      <c r="AH99" s="213" t="s">
        <v>15</v>
      </c>
      <c r="AJ99" s="207" t="s">
        <v>531</v>
      </c>
      <c r="AK99" s="130">
        <f>'Model homes'!$H275*E40*10^-6</f>
        <v>8.0048524209230728E-6</v>
      </c>
      <c r="AL99" s="130">
        <f>'Model homes'!$H275*F40*10^-6</f>
        <v>7.433077247999998E-6</v>
      </c>
      <c r="AM99" s="130">
        <f>'Model homes'!$H275*G40*10^-6</f>
        <v>8.6983207092537286E-6</v>
      </c>
      <c r="AN99" s="130">
        <f>'Model homes'!$H275*H40*10^-6</f>
        <v>8.3255355359999986E-6</v>
      </c>
    </row>
    <row r="100" spans="3:40" ht="15.95" customHeight="1" x14ac:dyDescent="0.3">
      <c r="C100" s="15" t="s">
        <v>16</v>
      </c>
      <c r="D100" s="84" t="s">
        <v>527</v>
      </c>
      <c r="E100" s="130">
        <f>E41*'Model homes'!$J112*10^-6</f>
        <v>0</v>
      </c>
      <c r="F100" s="130">
        <f>F41*'Model homes'!$J112*10^-6</f>
        <v>0</v>
      </c>
      <c r="G100" s="130">
        <f>G41*'Model homes'!$J112*10^-6</f>
        <v>0</v>
      </c>
      <c r="H100" s="130">
        <f>H41*'Model homes'!$J112*10^-6</f>
        <v>0</v>
      </c>
      <c r="J100" s="210" t="s">
        <v>16</v>
      </c>
      <c r="L100" s="207" t="s">
        <v>528</v>
      </c>
      <c r="M100" s="130">
        <f>'Model homes'!$E276*E41*10^-6</f>
        <v>1.3007885183999997E-5</v>
      </c>
      <c r="N100" s="130">
        <f>'Model homes'!$E276*F41*10^-6</f>
        <v>1.2388462079999996E-5</v>
      </c>
      <c r="O100" s="130">
        <f>'Model homes'!$E276*G41*10^-6</f>
        <v>1.4214328963902437E-5</v>
      </c>
      <c r="P100" s="130">
        <f>'Model homes'!$E276*H41*10^-6</f>
        <v>1.3875892559999994E-5</v>
      </c>
      <c r="R100" s="210" t="s">
        <v>16</v>
      </c>
      <c r="T100" s="207" t="s">
        <v>529</v>
      </c>
      <c r="U100" s="130">
        <f>'Model homes'!$F276*E41*10^-6</f>
        <v>2.0162222035199993E-4</v>
      </c>
      <c r="V100" s="130">
        <f>'Model homes'!$F276*F41*10^-6</f>
        <v>1.9202116223999996E-4</v>
      </c>
      <c r="W100" s="130">
        <f>'Model homes'!$F276*G41*10^-6</f>
        <v>2.2032209894048778E-4</v>
      </c>
      <c r="X100" s="130">
        <f>'Model homes'!$F276*H41*10^-6</f>
        <v>2.1507633467999991E-4</v>
      </c>
      <c r="Z100" s="210" t="s">
        <v>16</v>
      </c>
      <c r="AB100" s="207" t="s">
        <v>530</v>
      </c>
      <c r="AC100" s="130">
        <f>'Model homes'!$G276*E41*10^-6</f>
        <v>4.5527598143999994E-5</v>
      </c>
      <c r="AD100" s="130">
        <f>'Model homes'!$G276*F41*10^-6</f>
        <v>4.3359617279999992E-5</v>
      </c>
      <c r="AE100" s="130">
        <f>'Model homes'!$G276*G41*10^-6</f>
        <v>4.9750151373658532E-5</v>
      </c>
      <c r="AF100" s="130">
        <f>'Model homes'!$G276*H41*10^-6</f>
        <v>4.8565623959999987E-5</v>
      </c>
      <c r="AH100" s="210" t="s">
        <v>16</v>
      </c>
      <c r="AJ100" s="207" t="s">
        <v>531</v>
      </c>
      <c r="AK100" s="130">
        <f>'Model homes'!$H276*E41*10^-6</f>
        <v>6.5039425919999983E-6</v>
      </c>
      <c r="AL100" s="130">
        <f>'Model homes'!$H276*F41*10^-6</f>
        <v>6.1942310399999982E-6</v>
      </c>
      <c r="AM100" s="130">
        <f>'Model homes'!$H276*G41*10^-6</f>
        <v>7.1071644819512185E-6</v>
      </c>
      <c r="AN100" s="130">
        <f>'Model homes'!$H276*H41*10^-6</f>
        <v>6.9379462799999969E-6</v>
      </c>
    </row>
    <row r="101" spans="3:40" ht="15.95" customHeight="1" x14ac:dyDescent="0.3">
      <c r="C101" s="15" t="s">
        <v>17</v>
      </c>
      <c r="D101" s="84" t="s">
        <v>527</v>
      </c>
      <c r="E101" s="130">
        <f>E42*'Model homes'!$J113*10^-6</f>
        <v>0.29970167463935993</v>
      </c>
      <c r="F101" s="130">
        <f>F42*'Model homes'!$J113*10^-6</f>
        <v>0.27829441216511996</v>
      </c>
      <c r="G101" s="130">
        <f>G42*'Model homes'!$J113*10^-6</f>
        <v>0.33568559281151988</v>
      </c>
      <c r="H101" s="130">
        <f>H42*'Model homes'!$J113*10^-6</f>
        <v>0.31170805046783995</v>
      </c>
      <c r="J101" s="210" t="s">
        <v>17</v>
      </c>
      <c r="L101" s="207" t="s">
        <v>528</v>
      </c>
      <c r="M101" s="130">
        <f>'Model homes'!$E277*E42*10^-6</f>
        <v>1.5209219599753842E-4</v>
      </c>
      <c r="N101" s="130">
        <f>'Model homes'!$E277*F42*10^-6</f>
        <v>1.4122846771199996E-4</v>
      </c>
      <c r="O101" s="130">
        <f>'Model homes'!$E277*G42*10^-6</f>
        <v>1.7035326558276917E-4</v>
      </c>
      <c r="P101" s="130">
        <f>'Model homes'!$E277*H42*10^-6</f>
        <v>1.5818517518399996E-4</v>
      </c>
      <c r="R101" s="210" t="s">
        <v>17</v>
      </c>
      <c r="T101" s="207" t="s">
        <v>529</v>
      </c>
      <c r="U101" s="130">
        <f>'Model homes'!$F277*E42*10^-6</f>
        <v>2.2413586778584609E-4</v>
      </c>
      <c r="V101" s="130">
        <f>'Model homes'!$F277*F42*10^-6</f>
        <v>2.0812616294399997E-4</v>
      </c>
      <c r="W101" s="130">
        <f>'Model homes'!$F277*G42*10^-6</f>
        <v>2.5104691770092301E-4</v>
      </c>
      <c r="X101" s="130">
        <f>'Model homes'!$F277*H42*10^-6</f>
        <v>2.3311499500799999E-4</v>
      </c>
      <c r="Z101" s="210" t="s">
        <v>17</v>
      </c>
      <c r="AB101" s="207" t="s">
        <v>530</v>
      </c>
      <c r="AC101" s="130">
        <f>'Model homes'!$G277*E42*10^-6</f>
        <v>8.0048524209230728E-6</v>
      </c>
      <c r="AD101" s="130">
        <f>'Model homes'!$G277*F42*10^-6</f>
        <v>7.433077247999998E-6</v>
      </c>
      <c r="AE101" s="130">
        <f>'Model homes'!$G277*G42*10^-6</f>
        <v>8.9659613464615359E-6</v>
      </c>
      <c r="AF101" s="130">
        <f>'Model homes'!$G277*H42*10^-6</f>
        <v>8.3255355359999986E-6</v>
      </c>
      <c r="AH101" s="210" t="s">
        <v>17</v>
      </c>
      <c r="AJ101" s="207" t="s">
        <v>531</v>
      </c>
      <c r="AK101" s="130">
        <f>'Model homes'!$H277*E42*10^-6</f>
        <v>8.0048524209230728E-6</v>
      </c>
      <c r="AL101" s="130">
        <f>'Model homes'!$H277*F42*10^-6</f>
        <v>7.433077247999998E-6</v>
      </c>
      <c r="AM101" s="130">
        <f>'Model homes'!$H277*G42*10^-6</f>
        <v>8.9659613464615359E-6</v>
      </c>
      <c r="AN101" s="130">
        <f>'Model homes'!$H277*H42*10^-6</f>
        <v>8.3255355359999986E-6</v>
      </c>
    </row>
    <row r="102" spans="3:40" ht="15.95" customHeight="1" x14ac:dyDescent="0.3">
      <c r="C102" s="15" t="s">
        <v>18</v>
      </c>
      <c r="D102" s="84" t="s">
        <v>527</v>
      </c>
      <c r="E102" s="130">
        <f>E43*'Model homes'!$J114*10^-6</f>
        <v>0.14985083731967996</v>
      </c>
      <c r="F102" s="130">
        <f>F43*'Model homes'!$J114*10^-6</f>
        <v>0.14103608218322822</v>
      </c>
      <c r="G102" s="130">
        <f>G43*'Model homes'!$J114*10^-6</f>
        <v>0.16784279640575994</v>
      </c>
      <c r="H102" s="130">
        <f>H43*'Model homes'!$J114*10^-6</f>
        <v>0.15796969073483288</v>
      </c>
      <c r="J102" s="210" t="s">
        <v>18</v>
      </c>
      <c r="L102" s="207" t="s">
        <v>528</v>
      </c>
      <c r="M102" s="130">
        <f>'Model homes'!$E278*E43*10^-6</f>
        <v>1.1707096665599996E-4</v>
      </c>
      <c r="N102" s="130">
        <f>'Model homes'!$E278*F43*10^-6</f>
        <v>1.1018443920564703E-4</v>
      </c>
      <c r="O102" s="130">
        <f>'Model homes'!$E278*G43*10^-6</f>
        <v>1.3112718469199995E-4</v>
      </c>
      <c r="P102" s="130">
        <f>'Model homes'!$E278*H43*10^-6</f>
        <v>1.234138208865882E-4</v>
      </c>
      <c r="R102" s="210" t="s">
        <v>18</v>
      </c>
      <c r="T102" s="207" t="s">
        <v>529</v>
      </c>
      <c r="U102" s="130">
        <f>'Model homes'!$F278*E43*10^-6</f>
        <v>4.5527598143999979E-4</v>
      </c>
      <c r="V102" s="130">
        <f>'Model homes'!$F278*F43*10^-6</f>
        <v>4.2849504135529401E-4</v>
      </c>
      <c r="W102" s="130">
        <f>'Model homes'!$F278*G43*10^-6</f>
        <v>5.0993905157999987E-4</v>
      </c>
      <c r="X102" s="130">
        <f>'Model homes'!$F278*H43*10^-6</f>
        <v>4.7994263678117626E-4</v>
      </c>
      <c r="Z102" s="210" t="s">
        <v>18</v>
      </c>
      <c r="AB102" s="207" t="s">
        <v>530</v>
      </c>
      <c r="AC102" s="130">
        <f>'Model homes'!$G278*E43*10^-6</f>
        <v>6.5039425919999983E-6</v>
      </c>
      <c r="AD102" s="130">
        <f>'Model homes'!$G278*F43*10^-6</f>
        <v>6.1213577336470572E-6</v>
      </c>
      <c r="AE102" s="130">
        <f>'Model homes'!$G278*G43*10^-6</f>
        <v>7.284843593999998E-6</v>
      </c>
      <c r="AF102" s="130">
        <f>'Model homes'!$G278*H43*10^-6</f>
        <v>6.8563233825882333E-6</v>
      </c>
      <c r="AH102" s="210" t="s">
        <v>18</v>
      </c>
      <c r="AJ102" s="207" t="s">
        <v>531</v>
      </c>
      <c r="AK102" s="130">
        <f>'Model homes'!$H278*E43*10^-6</f>
        <v>6.5039425919999983E-6</v>
      </c>
      <c r="AL102" s="130">
        <f>'Model homes'!$H278*F43*10^-6</f>
        <v>6.1213577336470572E-6</v>
      </c>
      <c r="AM102" s="130">
        <f>'Model homes'!$H278*G43*10^-6</f>
        <v>7.284843593999998E-6</v>
      </c>
      <c r="AN102" s="130">
        <f>'Model homes'!$H278*H43*10^-6</f>
        <v>6.8563233825882333E-6</v>
      </c>
    </row>
    <row r="103" spans="3:40" ht="15.95" customHeight="1" x14ac:dyDescent="0.3">
      <c r="C103" s="15" t="s">
        <v>19</v>
      </c>
      <c r="D103" s="84" t="s">
        <v>527</v>
      </c>
      <c r="E103" s="130">
        <f>E44*'Model homes'!$J115*10^-6</f>
        <v>0.18263070798335995</v>
      </c>
      <c r="F103" s="130">
        <f>F44*'Model homes'!$J115*10^-6</f>
        <v>0.16988903068219532</v>
      </c>
      <c r="G103" s="130">
        <f>G44*'Model homes'!$J115*10^-6</f>
        <v>0.20455840811951992</v>
      </c>
      <c r="H103" s="130">
        <f>H44*'Model homes'!$J115*10^-6</f>
        <v>0.19028689127397205</v>
      </c>
      <c r="J103" s="210" t="s">
        <v>19</v>
      </c>
      <c r="L103" s="207" t="s">
        <v>528</v>
      </c>
      <c r="M103" s="130">
        <f>'Model homes'!$E279*E44*10^-6</f>
        <v>1.1707096665599996E-4</v>
      </c>
      <c r="N103" s="130">
        <f>'Model homes'!$E279*F44*10^-6</f>
        <v>1.0890322479627904E-4</v>
      </c>
      <c r="O103" s="130">
        <f>'Model homes'!$E279*G44*10^-6</f>
        <v>1.3112718469199995E-4</v>
      </c>
      <c r="P103" s="130">
        <f>'Model homes'!$E279*H44*10^-6</f>
        <v>1.2197877645767438E-4</v>
      </c>
      <c r="R103" s="210" t="s">
        <v>19</v>
      </c>
      <c r="T103" s="207" t="s">
        <v>529</v>
      </c>
      <c r="U103" s="130">
        <f>'Model homes'!$F279*E44*10^-6</f>
        <v>4.5527598143999979E-4</v>
      </c>
      <c r="V103" s="130">
        <f>'Model homes'!$F279*F44*10^-6</f>
        <v>4.2351254087441846E-4</v>
      </c>
      <c r="W103" s="130">
        <f>'Model homes'!$F279*G44*10^-6</f>
        <v>5.0993905157999987E-4</v>
      </c>
      <c r="X103" s="130">
        <f>'Model homes'!$F279*H44*10^-6</f>
        <v>4.743619084465115E-4</v>
      </c>
      <c r="Z103" s="210" t="s">
        <v>19</v>
      </c>
      <c r="AB103" s="207" t="s">
        <v>530</v>
      </c>
      <c r="AC103" s="130">
        <f>'Model homes'!$G279*E44*10^-6</f>
        <v>6.5039425919999983E-6</v>
      </c>
      <c r="AD103" s="130">
        <f>'Model homes'!$G279*F44*10^-6</f>
        <v>6.0501791553488361E-6</v>
      </c>
      <c r="AE103" s="130">
        <f>'Model homes'!$G279*G44*10^-6</f>
        <v>7.284843593999998E-6</v>
      </c>
      <c r="AF103" s="130">
        <f>'Model homes'!$G279*H44*10^-6</f>
        <v>6.7765986920930215E-6</v>
      </c>
      <c r="AH103" s="210" t="s">
        <v>19</v>
      </c>
      <c r="AJ103" s="207" t="s">
        <v>531</v>
      </c>
      <c r="AK103" s="130">
        <f>'Model homes'!$H279*E44*10^-6</f>
        <v>6.5039425919999983E-6</v>
      </c>
      <c r="AL103" s="130">
        <f>'Model homes'!$H279*F44*10^-6</f>
        <v>6.0501791553488361E-6</v>
      </c>
      <c r="AM103" s="130">
        <f>'Model homes'!$H279*G44*10^-6</f>
        <v>7.284843593999998E-6</v>
      </c>
      <c r="AN103" s="130">
        <f>'Model homes'!$H279*H44*10^-6</f>
        <v>6.7765986920930215E-6</v>
      </c>
    </row>
    <row r="104" spans="3:40" ht="15.95" customHeight="1" x14ac:dyDescent="0.3">
      <c r="C104" s="14" t="s">
        <v>20</v>
      </c>
      <c r="D104" s="84" t="s">
        <v>527</v>
      </c>
      <c r="E104" s="130">
        <f>E45*'Model homes'!$J116*10^-6</f>
        <v>0.12252509639667949</v>
      </c>
      <c r="F104" s="130">
        <f>F45*'Model homes'!$J116*10^-6</f>
        <v>0.11970842751399721</v>
      </c>
      <c r="G104" s="130">
        <f>G45*'Model homes'!$J116*10^-6</f>
        <v>0.13408131437011858</v>
      </c>
      <c r="H104" s="130">
        <f>H45*'Model homes'!$J116*10^-6</f>
        <v>0.13408131437011858</v>
      </c>
      <c r="J104" s="213" t="s">
        <v>20</v>
      </c>
      <c r="L104" s="207" t="s">
        <v>528</v>
      </c>
      <c r="M104" s="130">
        <f>'Model homes'!$E280*E45*10^-6</f>
        <v>0</v>
      </c>
      <c r="N104" s="130">
        <f>'Model homes'!$E280*F45*10^-6</f>
        <v>0</v>
      </c>
      <c r="O104" s="130">
        <f>'Model homes'!$E280*G45*10^-6</f>
        <v>0</v>
      </c>
      <c r="P104" s="130">
        <f>'Model homes'!$E280*H45*10^-6</f>
        <v>0</v>
      </c>
      <c r="R104" s="213" t="s">
        <v>20</v>
      </c>
      <c r="T104" s="207" t="s">
        <v>529</v>
      </c>
      <c r="U104" s="130">
        <f>'Model homes'!$F280*E45*10^-6</f>
        <v>7.9577650537411755E-5</v>
      </c>
      <c r="V104" s="130">
        <f>'Model homes'!$F280*F45*10^-6</f>
        <v>7.7748279260689634E-5</v>
      </c>
      <c r="W104" s="130">
        <f>'Model homes'!$F280*G45*10^-6</f>
        <v>8.7083187790344804E-5</v>
      </c>
      <c r="X104" s="130">
        <f>'Model homes'!$F280*H45*10^-6</f>
        <v>8.7083187790344804E-5</v>
      </c>
      <c r="Z104" s="213" t="s">
        <v>20</v>
      </c>
      <c r="AB104" s="207" t="s">
        <v>530</v>
      </c>
      <c r="AC104" s="130">
        <f>'Model homes'!$G280*E45*10^-6</f>
        <v>0</v>
      </c>
      <c r="AD104" s="130">
        <f>'Model homes'!$G280*F45*10^-6</f>
        <v>0</v>
      </c>
      <c r="AE104" s="130">
        <f>'Model homes'!$G280*G45*10^-6</f>
        <v>0</v>
      </c>
      <c r="AF104" s="130">
        <f>'Model homes'!$G280*H45*10^-6</f>
        <v>0</v>
      </c>
      <c r="AH104" s="213" t="s">
        <v>20</v>
      </c>
      <c r="AJ104" s="207" t="s">
        <v>531</v>
      </c>
      <c r="AK104" s="130">
        <f>'Model homes'!$H280*E45*10^-6</f>
        <v>0</v>
      </c>
      <c r="AL104" s="130">
        <f>'Model homes'!$H280*F45*10^-6</f>
        <v>0</v>
      </c>
      <c r="AM104" s="130">
        <f>'Model homes'!$H280*G45*10^-6</f>
        <v>0</v>
      </c>
      <c r="AN104" s="130">
        <f>'Model homes'!$H280*H45*10^-6</f>
        <v>0</v>
      </c>
    </row>
    <row r="105" spans="3:40" ht="15.95" customHeight="1" x14ac:dyDescent="0.3">
      <c r="C105" s="14" t="s">
        <v>21</v>
      </c>
      <c r="D105" s="84" t="s">
        <v>527</v>
      </c>
      <c r="E105" s="130" t="e">
        <f>E46*'Model homes'!$J117*10^-6</f>
        <v>#N/A</v>
      </c>
      <c r="F105" s="130" t="e">
        <f>F46*'Model homes'!$J117*10^-6</f>
        <v>#N/A</v>
      </c>
      <c r="G105" s="130" t="e">
        <f>G46*'Model homes'!$J117*10^-6</f>
        <v>#N/A</v>
      </c>
      <c r="H105" s="130" t="e">
        <f>H46*'Model homes'!$J117*10^-6</f>
        <v>#N/A</v>
      </c>
      <c r="J105" s="213" t="s">
        <v>21</v>
      </c>
      <c r="L105" s="207" t="s">
        <v>528</v>
      </c>
      <c r="M105" s="130" t="e">
        <f>'Model homes'!$E281*E46*10^-6</f>
        <v>#DIV/0!</v>
      </c>
      <c r="N105" s="130" t="e">
        <f>'Model homes'!$E281*F46*10^-6</f>
        <v>#DIV/0!</v>
      </c>
      <c r="O105" s="130" t="e">
        <f>'Model homes'!$E281*G46*10^-6</f>
        <v>#DIV/0!</v>
      </c>
      <c r="P105" s="130" t="e">
        <f>'Model homes'!$E281*H46*10^-6</f>
        <v>#DIV/0!</v>
      </c>
      <c r="R105" s="213" t="s">
        <v>21</v>
      </c>
      <c r="T105" s="207" t="s">
        <v>529</v>
      </c>
      <c r="U105" s="130" t="e">
        <f>'Model homes'!$F281*E46*10^-6</f>
        <v>#DIV/0!</v>
      </c>
      <c r="V105" s="130" t="e">
        <f>'Model homes'!$F281*F46*10^-6</f>
        <v>#DIV/0!</v>
      </c>
      <c r="W105" s="130" t="e">
        <f>'Model homes'!$F281*G46*10^-6</f>
        <v>#DIV/0!</v>
      </c>
      <c r="X105" s="130" t="e">
        <f>'Model homes'!$F281*H46*10^-6</f>
        <v>#DIV/0!</v>
      </c>
      <c r="Z105" s="213" t="s">
        <v>21</v>
      </c>
      <c r="AB105" s="207" t="s">
        <v>530</v>
      </c>
      <c r="AC105" s="130" t="e">
        <f>'Model homes'!$G281*E46*10^-6</f>
        <v>#DIV/0!</v>
      </c>
      <c r="AD105" s="130" t="e">
        <f>'Model homes'!$G281*F46*10^-6</f>
        <v>#DIV/0!</v>
      </c>
      <c r="AE105" s="130" t="e">
        <f>'Model homes'!$G281*G46*10^-6</f>
        <v>#DIV/0!</v>
      </c>
      <c r="AF105" s="130" t="e">
        <f>'Model homes'!$G281*H46*10^-6</f>
        <v>#DIV/0!</v>
      </c>
      <c r="AH105" s="213" t="s">
        <v>21</v>
      </c>
      <c r="AJ105" s="207" t="s">
        <v>531</v>
      </c>
      <c r="AK105" s="130" t="e">
        <f>'Model homes'!$H281*E46*10^-6</f>
        <v>#DIV/0!</v>
      </c>
      <c r="AL105" s="130" t="e">
        <f>'Model homes'!$H281*F46*10^-6</f>
        <v>#DIV/0!</v>
      </c>
      <c r="AM105" s="130" t="e">
        <f>'Model homes'!$H281*G46*10^-6</f>
        <v>#DIV/0!</v>
      </c>
      <c r="AN105" s="130" t="e">
        <f>'Model homes'!$H281*H46*10^-6</f>
        <v>#DIV/0!</v>
      </c>
    </row>
    <row r="106" spans="3:40" ht="15.95" customHeight="1" x14ac:dyDescent="0.3">
      <c r="C106" s="14" t="s">
        <v>22</v>
      </c>
      <c r="D106" s="84" t="s">
        <v>527</v>
      </c>
      <c r="E106" s="130" t="e">
        <f>E47*'Model homes'!$J118*10^-6</f>
        <v>#N/A</v>
      </c>
      <c r="F106" s="130" t="e">
        <f>F47*'Model homes'!$J118*10^-6</f>
        <v>#N/A</v>
      </c>
      <c r="G106" s="130" t="e">
        <f>G47*'Model homes'!$J118*10^-6</f>
        <v>#N/A</v>
      </c>
      <c r="H106" s="130" t="e">
        <f>H47*'Model homes'!$J118*10^-6</f>
        <v>#N/A</v>
      </c>
      <c r="J106" s="213" t="s">
        <v>22</v>
      </c>
      <c r="L106" s="207" t="s">
        <v>528</v>
      </c>
      <c r="M106" s="130" t="e">
        <f>'Model homes'!$E282*E47*10^-6</f>
        <v>#DIV/0!</v>
      </c>
      <c r="N106" s="130" t="e">
        <f>'Model homes'!$E282*F47*10^-6</f>
        <v>#DIV/0!</v>
      </c>
      <c r="O106" s="130" t="e">
        <f>'Model homes'!$E282*G47*10^-6</f>
        <v>#DIV/0!</v>
      </c>
      <c r="P106" s="130" t="e">
        <f>'Model homes'!$E282*H47*10^-6</f>
        <v>#DIV/0!</v>
      </c>
      <c r="R106" s="213" t="s">
        <v>22</v>
      </c>
      <c r="T106" s="207" t="s">
        <v>529</v>
      </c>
      <c r="U106" s="130" t="e">
        <f>'Model homes'!$F282*E47*10^-6</f>
        <v>#DIV/0!</v>
      </c>
      <c r="V106" s="130" t="e">
        <f>'Model homes'!$F282*F47*10^-6</f>
        <v>#DIV/0!</v>
      </c>
      <c r="W106" s="130" t="e">
        <f>'Model homes'!$F282*G47*10^-6</f>
        <v>#DIV/0!</v>
      </c>
      <c r="X106" s="130" t="e">
        <f>'Model homes'!$F282*H47*10^-6</f>
        <v>#DIV/0!</v>
      </c>
      <c r="Z106" s="213" t="s">
        <v>22</v>
      </c>
      <c r="AB106" s="207" t="s">
        <v>530</v>
      </c>
      <c r="AC106" s="130" t="e">
        <f>'Model homes'!$G282*E47*10^-6</f>
        <v>#DIV/0!</v>
      </c>
      <c r="AD106" s="130" t="e">
        <f>'Model homes'!$G282*F47*10^-6</f>
        <v>#DIV/0!</v>
      </c>
      <c r="AE106" s="130" t="e">
        <f>'Model homes'!$G282*G47*10^-6</f>
        <v>#DIV/0!</v>
      </c>
      <c r="AF106" s="130" t="e">
        <f>'Model homes'!$G282*H47*10^-6</f>
        <v>#DIV/0!</v>
      </c>
      <c r="AH106" s="213" t="s">
        <v>22</v>
      </c>
      <c r="AJ106" s="207" t="s">
        <v>531</v>
      </c>
      <c r="AK106" s="130" t="e">
        <f>'Model homes'!$H282*E47*10^-6</f>
        <v>#DIV/0!</v>
      </c>
      <c r="AL106" s="130" t="e">
        <f>'Model homes'!$H282*F47*10^-6</f>
        <v>#DIV/0!</v>
      </c>
      <c r="AM106" s="130" t="e">
        <f>'Model homes'!$H282*G47*10^-6</f>
        <v>#DIV/0!</v>
      </c>
      <c r="AN106" s="130" t="e">
        <f>'Model homes'!$H282*H47*10^-6</f>
        <v>#DIV/0!</v>
      </c>
    </row>
    <row r="107" spans="3:40" x14ac:dyDescent="0.3">
      <c r="J107" s="26"/>
      <c r="L107" s="207"/>
      <c r="R107" s="26"/>
      <c r="T107" s="207"/>
      <c r="Z107" s="26"/>
      <c r="AB107" s="207"/>
      <c r="AH107" s="26"/>
      <c r="AJ107" s="207"/>
    </row>
    <row r="108" spans="3:40" x14ac:dyDescent="0.3">
      <c r="C108" s="51" t="s">
        <v>313</v>
      </c>
      <c r="E108" s="106"/>
      <c r="J108" s="51" t="s">
        <v>532</v>
      </c>
      <c r="R108" s="51" t="s">
        <v>533</v>
      </c>
      <c r="Z108" s="51" t="s">
        <v>534</v>
      </c>
      <c r="AH108" s="51" t="s">
        <v>535</v>
      </c>
    </row>
    <row r="109" spans="3:40" x14ac:dyDescent="0.3">
      <c r="C109" s="20" t="s">
        <v>14</v>
      </c>
      <c r="D109" s="84" t="s">
        <v>536</v>
      </c>
      <c r="E109" s="42" t="e">
        <f>LOOKUP(E$36,'Model homes'!$C$203:$C$227,'Model homes'!$F$203:$F$227)*E98</f>
        <v>#VALUE!</v>
      </c>
      <c r="F109" s="42" t="e">
        <f>LOOKUP(F$36,'Model homes'!$C$203:$C$227,'Model homes'!$F$203:$F$227)*F98</f>
        <v>#VALUE!</v>
      </c>
      <c r="G109" s="42" t="e">
        <f>LOOKUP(G$36,'Model homes'!$C$203:$C$227,'Model homes'!$F$203:$F$227)*G98</f>
        <v>#VALUE!</v>
      </c>
      <c r="H109" s="42" t="e">
        <f>LOOKUP(H$36,'Model homes'!$C$203:$C$227,'Model homes'!$F$203:$F$227)*H98</f>
        <v>#VALUE!</v>
      </c>
      <c r="J109" s="209" t="s">
        <v>14</v>
      </c>
      <c r="L109" s="207" t="s">
        <v>536</v>
      </c>
      <c r="M109" s="159" t="e">
        <f>LOOKUP(E$36,'Model homes'!$C$351:$C$375,'Model homes'!$E$351:$E$375)*M98</f>
        <v>#DIV/0!</v>
      </c>
      <c r="N109" s="159" t="e">
        <f>LOOKUP(F$36,'Model homes'!$C$351:$C$375,'Model homes'!$E$351:$E$375)*N98</f>
        <v>#DIV/0!</v>
      </c>
      <c r="O109" s="159" t="e">
        <f>LOOKUP(G$36,'Model homes'!$C$351:$C$375,'Model homes'!$E$351:$E$375)*O98</f>
        <v>#DIV/0!</v>
      </c>
      <c r="P109" s="159" t="e">
        <f>LOOKUP(H$36,'Model homes'!$C$351:$C$375,'Model homes'!$E$351:$E$375)*P98</f>
        <v>#DIV/0!</v>
      </c>
      <c r="R109" s="209" t="s">
        <v>14</v>
      </c>
      <c r="T109" s="207" t="s">
        <v>536</v>
      </c>
      <c r="U109" s="159" t="e">
        <f>LOOKUP(E$36,'Model homes'!$C$351:$C$375,'Model homes'!$F$351:$F$375)*U98</f>
        <v>#DIV/0!</v>
      </c>
      <c r="V109" s="159" t="e">
        <f>LOOKUP(F$36,'Model homes'!$C$351:$C$375,'Model homes'!$F$351:$F$375)*V98</f>
        <v>#DIV/0!</v>
      </c>
      <c r="W109" s="159" t="e">
        <f>LOOKUP(G$36,'Model homes'!$C$351:$C$375,'Model homes'!$F$351:$F$375)*W98</f>
        <v>#DIV/0!</v>
      </c>
      <c r="X109" s="159" t="e">
        <f>LOOKUP(H$36,'Model homes'!$C$351:$C$375,'Model homes'!$F$351:$F$375)*X98</f>
        <v>#DIV/0!</v>
      </c>
      <c r="Z109" s="209" t="s">
        <v>14</v>
      </c>
      <c r="AB109" s="207" t="s">
        <v>536</v>
      </c>
      <c r="AC109" s="159" t="e">
        <f>LOOKUP(E$36,'Model homes'!$C$351:$C$375,'Model homes'!$G$351:$G$375)*AC98</f>
        <v>#DIV/0!</v>
      </c>
      <c r="AD109" s="159" t="e">
        <f>LOOKUP(F$36,'Model homes'!$C$351:$C$375,'Model homes'!$G$351:$G$375)*AD98</f>
        <v>#DIV/0!</v>
      </c>
      <c r="AE109" s="159" t="e">
        <f>LOOKUP(G$36,'Model homes'!$C$351:$C$375,'Model homes'!$G$351:$G$375)*AE98</f>
        <v>#DIV/0!</v>
      </c>
      <c r="AF109" s="159" t="e">
        <f>LOOKUP(H$36,'Model homes'!$C$351:$C$375,'Model homes'!$G$351:$G$375)*AF98</f>
        <v>#DIV/0!</v>
      </c>
      <c r="AH109" s="209" t="s">
        <v>14</v>
      </c>
      <c r="AJ109" s="207" t="s">
        <v>536</v>
      </c>
      <c r="AK109" s="159" t="e">
        <f>LOOKUP(E$36,'Model homes'!$C$351:$C$375,'Model homes'!$H$351:$H$375)*AK98</f>
        <v>#DIV/0!</v>
      </c>
      <c r="AL109" s="159" t="e">
        <f>LOOKUP(F$36,'Model homes'!$C$351:$C$375,'Model homes'!$H$351:$H$375)*AL98</f>
        <v>#DIV/0!</v>
      </c>
      <c r="AM109" s="159" t="e">
        <f>LOOKUP(G$36,'Model homes'!$C$351:$C$375,'Model homes'!$H$351:$H$375)*AM98</f>
        <v>#DIV/0!</v>
      </c>
      <c r="AN109" s="159" t="e">
        <f>LOOKUP(H$36,'Model homes'!$C$351:$C$375,'Model homes'!$H$351:$H$375)*AN98</f>
        <v>#DIV/0!</v>
      </c>
    </row>
    <row r="110" spans="3:40" x14ac:dyDescent="0.3">
      <c r="C110" s="14" t="s">
        <v>15</v>
      </c>
      <c r="D110" s="84" t="s">
        <v>536</v>
      </c>
      <c r="E110" s="42">
        <f>LOOKUP(E$36,'Model homes'!$C$203:$C$227,'Model homes'!$F$203:$F$227)*E99</f>
        <v>0</v>
      </c>
      <c r="F110" s="42">
        <f>LOOKUP(F$36,'Model homes'!$C$203:$C$227,'Model homes'!$F$203:$F$227)*F99</f>
        <v>0</v>
      </c>
      <c r="G110" s="42">
        <f>LOOKUP(G$36,'Model homes'!$C$203:$C$227,'Model homes'!$F$203:$F$227)*G99</f>
        <v>0</v>
      </c>
      <c r="H110" s="42">
        <f>LOOKUP(H$36,'Model homes'!$C$203:$C$227,'Model homes'!$F$203:$F$227)*H99</f>
        <v>0</v>
      </c>
      <c r="J110" s="213" t="s">
        <v>15</v>
      </c>
      <c r="L110" s="207" t="s">
        <v>536</v>
      </c>
      <c r="M110" s="42">
        <f>LOOKUP(E$36,'Model homes'!$C$351:$C$375,'Model homes'!$E$351:$E$375)*M99</f>
        <v>0.3009470356593576</v>
      </c>
      <c r="N110" s="42">
        <f>LOOKUP(F$36,'Model homes'!$C$351:$C$375,'Model homes'!$E$351:$E$375)*N99</f>
        <v>0.27945081882654643</v>
      </c>
      <c r="O110" s="42">
        <f>LOOKUP(G$36,'Model homes'!$C$351:$C$375,'Model homes'!$E$351:$E$375)*O99</f>
        <v>0.32701837523226307</v>
      </c>
      <c r="P110" s="42">
        <f>LOOKUP(H$36,'Model homes'!$C$351:$C$375,'Model homes'!$E$351:$E$375)*P99</f>
        <v>0.31300330200802323</v>
      </c>
      <c r="R110" s="213" t="s">
        <v>15</v>
      </c>
      <c r="T110" s="207" t="s">
        <v>536</v>
      </c>
      <c r="U110" s="42">
        <f>LOOKUP(E$36,'Model homes'!$C$351:$C$375,'Model homes'!$F$351:$F$375)*U99</f>
        <v>4.0770075717256402</v>
      </c>
      <c r="V110" s="42">
        <f>LOOKUP(F$36,'Model homes'!$C$351:$C$375,'Model homes'!$F$351:$F$375)*V99</f>
        <v>3.7857927451738096</v>
      </c>
      <c r="W110" s="42">
        <f>LOOKUP(G$36,'Model homes'!$C$351:$C$375,'Model homes'!$F$351:$F$375)*W99</f>
        <v>4.4302027730370064</v>
      </c>
      <c r="X110" s="42">
        <f>LOOKUP(H$36,'Model homes'!$C$351:$C$375,'Model homes'!$F$351:$F$375)*X99</f>
        <v>4.2403369399068485</v>
      </c>
      <c r="Z110" s="213" t="s">
        <v>15</v>
      </c>
      <c r="AB110" s="207" t="s">
        <v>536</v>
      </c>
      <c r="AC110" s="42">
        <f>LOOKUP(E$36,'Model homes'!$C$351:$C$375,'Model homes'!$G$351:$G$375)*AC99</f>
        <v>1.8329375935572425</v>
      </c>
      <c r="AD110" s="42">
        <f>LOOKUP(F$36,'Model homes'!$C$351:$C$375,'Model homes'!$G$351:$G$375)*AD99</f>
        <v>1.7020134797317255</v>
      </c>
      <c r="AE110" s="42">
        <f>LOOKUP(G$36,'Model homes'!$C$351:$C$375,'Model homes'!$G$351:$G$375)*AE99</f>
        <v>1.9917267915065626</v>
      </c>
      <c r="AF110" s="42">
        <f>LOOKUP(H$36,'Model homes'!$C$351:$C$375,'Model homes'!$G$351:$G$375)*AF99</f>
        <v>1.9063670718705676</v>
      </c>
      <c r="AH110" s="213" t="s">
        <v>15</v>
      </c>
      <c r="AJ110" s="207" t="s">
        <v>536</v>
      </c>
      <c r="AK110" s="42">
        <f>LOOKUP(E$36,'Model homes'!$C$351:$C$375,'Model homes'!$H$351:$H$375)*AK99</f>
        <v>1.4217748366662942E-2</v>
      </c>
      <c r="AL110" s="42">
        <f>LOOKUP(F$36,'Model homes'!$C$351:$C$375,'Model homes'!$H$351:$H$375)*AL99</f>
        <v>1.3202194911901307E-2</v>
      </c>
      <c r="AM110" s="42">
        <f>LOOKUP(G$36,'Model homes'!$C$351:$C$375,'Model homes'!$H$351:$H$375)*AM99</f>
        <v>1.5449445980222291E-2</v>
      </c>
      <c r="AN110" s="42">
        <f>LOOKUP(H$36,'Model homes'!$C$351:$C$375,'Model homes'!$H$351:$H$375)*AN99</f>
        <v>1.4787326866784195E-2</v>
      </c>
    </row>
    <row r="111" spans="3:40" x14ac:dyDescent="0.3">
      <c r="C111" s="15" t="s">
        <v>16</v>
      </c>
      <c r="D111" s="84" t="s">
        <v>536</v>
      </c>
      <c r="E111" s="42">
        <f>LOOKUP(E$36,'Model homes'!$C$203:$C$227,'Model homes'!$F$203:$F$227)*E100</f>
        <v>0</v>
      </c>
      <c r="F111" s="42">
        <f>LOOKUP(F$36,'Model homes'!$C$203:$C$227,'Model homes'!$F$203:$F$227)*F100</f>
        <v>0</v>
      </c>
      <c r="G111" s="42">
        <f>LOOKUP(G$36,'Model homes'!$C$203:$C$227,'Model homes'!$F$203:$F$227)*G100</f>
        <v>0</v>
      </c>
      <c r="H111" s="42">
        <f>LOOKUP(H$36,'Model homes'!$C$203:$C$227,'Model homes'!$F$203:$F$227)*H100</f>
        <v>0</v>
      </c>
      <c r="J111" s="210" t="s">
        <v>16</v>
      </c>
      <c r="L111" s="207" t="s">
        <v>536</v>
      </c>
      <c r="M111" s="42">
        <f>LOOKUP(E$36,'Model homes'!$C$351:$C$375,'Model homes'!$E$351:$E$375)*M100</f>
        <v>0.24451946647322814</v>
      </c>
      <c r="N111" s="42">
        <f>LOOKUP(F$36,'Model homes'!$C$351:$C$375,'Model homes'!$E$351:$E$375)*N100</f>
        <v>0.23287568235545536</v>
      </c>
      <c r="O111" s="42">
        <f>LOOKUP(G$36,'Model homes'!$C$351:$C$375,'Model homes'!$E$351:$E$375)*O100</f>
        <v>0.26719794073855646</v>
      </c>
      <c r="P111" s="42">
        <f>LOOKUP(H$36,'Model homes'!$C$351:$C$375,'Model homes'!$E$351:$E$375)*P100</f>
        <v>0.26083608500668598</v>
      </c>
      <c r="R111" s="210" t="s">
        <v>16</v>
      </c>
      <c r="T111" s="207" t="s">
        <v>536</v>
      </c>
      <c r="U111" s="42">
        <f>LOOKUP(E$36,'Model homes'!$C$351:$C$375,'Model homes'!$F$351:$F$375)*U100</f>
        <v>3.3125686520270827</v>
      </c>
      <c r="V111" s="42">
        <f>LOOKUP(F$36,'Model homes'!$C$351:$C$375,'Model homes'!$F$351:$F$375)*V100</f>
        <v>3.1548272876448409</v>
      </c>
      <c r="W111" s="42">
        <f>LOOKUP(G$36,'Model homes'!$C$351:$C$375,'Model homes'!$F$351:$F$375)*W100</f>
        <v>3.6197998267497495</v>
      </c>
      <c r="X111" s="42">
        <f>LOOKUP(H$36,'Model homes'!$C$351:$C$375,'Model homes'!$F$351:$F$375)*X100</f>
        <v>3.5336141165890402</v>
      </c>
      <c r="Z111" s="210" t="s">
        <v>16</v>
      </c>
      <c r="AB111" s="207" t="s">
        <v>536</v>
      </c>
      <c r="AC111" s="42">
        <f>LOOKUP(E$36,'Model homes'!$C$351:$C$375,'Model homes'!$G$351:$G$375)*AC100</f>
        <v>1.4892617947652598</v>
      </c>
      <c r="AD111" s="42">
        <f>LOOKUP(F$36,'Model homes'!$C$351:$C$375,'Model homes'!$G$351:$G$375)*AD100</f>
        <v>1.4183445664431045</v>
      </c>
      <c r="AE111" s="42">
        <f>LOOKUP(G$36,'Model homes'!$C$351:$C$375,'Model homes'!$G$351:$G$375)*AE100</f>
        <v>1.6273865247675576</v>
      </c>
      <c r="AF111" s="42">
        <f>LOOKUP(H$36,'Model homes'!$C$351:$C$375,'Model homes'!$G$351:$G$375)*AF100</f>
        <v>1.5886392265588061</v>
      </c>
      <c r="AH111" s="210" t="s">
        <v>16</v>
      </c>
      <c r="AJ111" s="207" t="s">
        <v>536</v>
      </c>
      <c r="AK111" s="42">
        <f>LOOKUP(E$36,'Model homes'!$C$351:$C$375,'Model homes'!$H$351:$H$375)*AK100</f>
        <v>1.1551920547913644E-2</v>
      </c>
      <c r="AL111" s="42">
        <f>LOOKUP(F$36,'Model homes'!$C$351:$C$375,'Model homes'!$H$351:$H$375)*AL100</f>
        <v>1.1001829093251089E-2</v>
      </c>
      <c r="AM111" s="42">
        <f>LOOKUP(G$36,'Model homes'!$C$351:$C$375,'Model homes'!$H$351:$H$375)*AM100</f>
        <v>1.2623327813108459E-2</v>
      </c>
      <c r="AN111" s="42">
        <f>LOOKUP(H$36,'Model homes'!$C$351:$C$375,'Model homes'!$H$351:$H$375)*AN100</f>
        <v>1.2322772388986826E-2</v>
      </c>
    </row>
    <row r="112" spans="3:40" x14ac:dyDescent="0.3">
      <c r="C112" s="15" t="s">
        <v>17</v>
      </c>
      <c r="D112" s="84" t="s">
        <v>536</v>
      </c>
      <c r="E112" s="42">
        <f>LOOKUP(E$36,'Model homes'!$C$203:$C$227,'Model homes'!$F$203:$F$227)*E101</f>
        <v>70.923532956900758</v>
      </c>
      <c r="F112" s="42">
        <f>LOOKUP(F$36,'Model homes'!$C$203:$C$227,'Model homes'!$F$203:$F$227)*F101</f>
        <v>65.857566317122135</v>
      </c>
      <c r="G112" s="42">
        <f>LOOKUP(G$36,'Model homes'!$C$203:$C$227,'Model homes'!$F$203:$F$227)*G101</f>
        <v>79.439022933633893</v>
      </c>
      <c r="H112" s="42">
        <f>LOOKUP(H$36,'Model homes'!$C$203:$C$227,'Model homes'!$F$203:$F$227)*H101</f>
        <v>73.764807009802922</v>
      </c>
      <c r="J112" s="210" t="s">
        <v>17</v>
      </c>
      <c r="L112" s="207" t="s">
        <v>536</v>
      </c>
      <c r="M112" s="42">
        <f>LOOKUP(E$36,'Model homes'!$C$351:$C$375,'Model homes'!$E$351:$E$375)*M101</f>
        <v>2.8589968387638982</v>
      </c>
      <c r="N112" s="42">
        <f>LOOKUP(F$36,'Model homes'!$C$351:$C$375,'Model homes'!$E$351:$E$375)*N101</f>
        <v>2.6547827788521912</v>
      </c>
      <c r="O112" s="42">
        <f>LOOKUP(G$36,'Model homes'!$C$351:$C$375,'Model homes'!$E$351:$E$375)*O101</f>
        <v>3.2022645513128527</v>
      </c>
      <c r="P112" s="42">
        <f>LOOKUP(H$36,'Model homes'!$C$351:$C$375,'Model homes'!$E$351:$E$375)*P101</f>
        <v>2.9735313690762206</v>
      </c>
      <c r="R112" s="210" t="s">
        <v>17</v>
      </c>
      <c r="T112" s="207" t="s">
        <v>536</v>
      </c>
      <c r="U112" s="42">
        <f>LOOKUP(E$36,'Model homes'!$C$351:$C$375,'Model homes'!$F$351:$F$375)*U101</f>
        <v>3.6824584518812236</v>
      </c>
      <c r="V112" s="42">
        <f>LOOKUP(F$36,'Model homes'!$C$351:$C$375,'Model homes'!$F$351:$F$375)*V101</f>
        <v>3.4194257053182797</v>
      </c>
      <c r="W112" s="42">
        <f>LOOKUP(G$36,'Model homes'!$C$351:$C$375,'Model homes'!$F$351:$F$375)*W101</f>
        <v>4.1245957331103842</v>
      </c>
      <c r="X112" s="42">
        <f>LOOKUP(H$36,'Model homes'!$C$351:$C$375,'Model homes'!$F$351:$F$375)*X101</f>
        <v>3.8299817521739286</v>
      </c>
      <c r="Z112" s="210" t="s">
        <v>17</v>
      </c>
      <c r="AB112" s="207" t="s">
        <v>536</v>
      </c>
      <c r="AC112" s="42">
        <f>LOOKUP(E$36,'Model homes'!$C$351:$C$375,'Model homes'!$G$351:$G$375)*AC101</f>
        <v>0.26184822765103455</v>
      </c>
      <c r="AD112" s="42">
        <f>LOOKUP(F$36,'Model homes'!$C$351:$C$375,'Model homes'!$G$351:$G$375)*AD101</f>
        <v>0.24314478281881788</v>
      </c>
      <c r="AE112" s="42">
        <f>LOOKUP(G$36,'Model homes'!$C$351:$C$375,'Model homes'!$G$351:$G$375)*AE101</f>
        <v>0.29328724182624111</v>
      </c>
      <c r="AF112" s="42">
        <f>LOOKUP(H$36,'Model homes'!$C$351:$C$375,'Model homes'!$G$351:$G$375)*AF101</f>
        <v>0.27233815312436677</v>
      </c>
      <c r="AH112" s="210" t="s">
        <v>17</v>
      </c>
      <c r="AJ112" s="207" t="s">
        <v>536</v>
      </c>
      <c r="AK112" s="42">
        <f>LOOKUP(E$36,'Model homes'!$C$351:$C$375,'Model homes'!$H$351:$H$375)*AK101</f>
        <v>1.4217748366662942E-2</v>
      </c>
      <c r="AL112" s="42">
        <f>LOOKUP(F$36,'Model homes'!$C$351:$C$375,'Model homes'!$H$351:$H$375)*AL101</f>
        <v>1.3202194911901307E-2</v>
      </c>
      <c r="AM112" s="42">
        <f>LOOKUP(G$36,'Model homes'!$C$351:$C$375,'Model homes'!$H$351:$H$375)*AM101</f>
        <v>1.5924813548844514E-2</v>
      </c>
      <c r="AN112" s="42">
        <f>LOOKUP(H$36,'Model homes'!$C$351:$C$375,'Model homes'!$H$351:$H$375)*AN101</f>
        <v>1.4787326866784195E-2</v>
      </c>
    </row>
    <row r="113" spans="3:40" x14ac:dyDescent="0.3">
      <c r="C113" s="15" t="s">
        <v>18</v>
      </c>
      <c r="D113" s="84" t="s">
        <v>536</v>
      </c>
      <c r="E113" s="42">
        <f>LOOKUP(E$36,'Model homes'!$C$203:$C$227,'Model homes'!$F$203:$F$227)*E102</f>
        <v>35.461766478450379</v>
      </c>
      <c r="F113" s="42">
        <f>LOOKUP(F$36,'Model homes'!$C$203:$C$227,'Model homes'!$F$203:$F$227)*F102</f>
        <v>33.375780215012121</v>
      </c>
      <c r="G113" s="42">
        <f>LOOKUP(G$36,'Model homes'!$C$203:$C$227,'Model homes'!$F$203:$F$227)*G102</f>
        <v>39.719511466816947</v>
      </c>
      <c r="H113" s="42">
        <f>LOOKUP(H$36,'Model homes'!$C$203:$C$227,'Model homes'!$F$203:$F$227)*H102</f>
        <v>37.383069615827715</v>
      </c>
      <c r="J113" s="210" t="s">
        <v>18</v>
      </c>
      <c r="L113" s="207" t="s">
        <v>536</v>
      </c>
      <c r="M113" s="42">
        <f>LOOKUP(E$36,'Model homes'!$C$351:$C$375,'Model homes'!$E$351:$E$375)*M102</f>
        <v>2.2006751982590531</v>
      </c>
      <c r="N113" s="42">
        <f>LOOKUP(F$36,'Model homes'!$C$351:$C$375,'Model homes'!$E$351:$E$375)*N102</f>
        <v>2.0712237160085207</v>
      </c>
      <c r="O113" s="42">
        <f>LOOKUP(G$36,'Model homes'!$C$351:$C$375,'Model homes'!$E$351:$E$375)*O102</f>
        <v>2.4649010033131828</v>
      </c>
      <c r="P113" s="42">
        <f>LOOKUP(H$36,'Model homes'!$C$351:$C$375,'Model homes'!$E$351:$E$375)*P102</f>
        <v>2.3199068266477014</v>
      </c>
      <c r="R113" s="210" t="s">
        <v>18</v>
      </c>
      <c r="T113" s="207" t="s">
        <v>536</v>
      </c>
      <c r="U113" s="42">
        <f>LOOKUP(E$36,'Model homes'!$C$351:$C$375,'Model homes'!$F$351:$F$375)*U102</f>
        <v>7.4799937303837343</v>
      </c>
      <c r="V113" s="42">
        <f>LOOKUP(F$36,'Model homes'!$C$351:$C$375,'Model homes'!$F$351:$F$375)*V102</f>
        <v>7.0399940991846925</v>
      </c>
      <c r="W113" s="42">
        <f>LOOKUP(G$36,'Model homes'!$C$351:$C$375,'Model homes'!$F$351:$F$375)*W102</f>
        <v>8.3780850828804674</v>
      </c>
      <c r="X113" s="42">
        <f>LOOKUP(H$36,'Model homes'!$C$351:$C$375,'Model homes'!$F$351:$F$375)*X102</f>
        <v>7.8852565485933797</v>
      </c>
      <c r="Z113" s="210" t="s">
        <v>18</v>
      </c>
      <c r="AB113" s="207" t="s">
        <v>536</v>
      </c>
      <c r="AC113" s="42">
        <f>LOOKUP(E$36,'Model homes'!$C$351:$C$375,'Model homes'!$G$351:$G$375)*AC102</f>
        <v>0.21275168496646565</v>
      </c>
      <c r="AD113" s="42">
        <f>LOOKUP(F$36,'Model homes'!$C$351:$C$375,'Model homes'!$G$351:$G$375)*AD102</f>
        <v>0.20023687996843825</v>
      </c>
      <c r="AE113" s="42">
        <f>LOOKUP(G$36,'Model homes'!$C$351:$C$375,'Model homes'!$G$351:$G$375)*AE102</f>
        <v>0.2382958839838209</v>
      </c>
      <c r="AF113" s="42">
        <f>LOOKUP(H$36,'Model homes'!$C$351:$C$375,'Model homes'!$G$351:$G$375)*AF102</f>
        <v>0.22427847904359613</v>
      </c>
      <c r="AH113" s="210" t="s">
        <v>18</v>
      </c>
      <c r="AJ113" s="207" t="s">
        <v>536</v>
      </c>
      <c r="AK113" s="42">
        <f>LOOKUP(E$36,'Model homes'!$C$351:$C$375,'Model homes'!$H$351:$H$375)*AK102</f>
        <v>1.1551920547913644E-2</v>
      </c>
      <c r="AL113" s="42">
        <f>LOOKUP(F$36,'Model homes'!$C$351:$C$375,'Model homes'!$H$351:$H$375)*AL102</f>
        <v>1.0872395809801075E-2</v>
      </c>
      <c r="AM113" s="42">
        <f>LOOKUP(G$36,'Model homes'!$C$351:$C$375,'Model homes'!$H$351:$H$375)*AM102</f>
        <v>1.2938911008436169E-2</v>
      </c>
      <c r="AN113" s="42">
        <f>LOOKUP(H$36,'Model homes'!$C$351:$C$375,'Model homes'!$H$351:$H$375)*AN102</f>
        <v>1.2177798596175217E-2</v>
      </c>
    </row>
    <row r="114" spans="3:40" x14ac:dyDescent="0.3">
      <c r="C114" s="15" t="s">
        <v>19</v>
      </c>
      <c r="D114" s="84" t="s">
        <v>536</v>
      </c>
      <c r="E114" s="42">
        <f>LOOKUP(E$36,'Model homes'!$C$203:$C$227,'Model homes'!$F$203:$F$227)*E103</f>
        <v>43.219027895611397</v>
      </c>
      <c r="F114" s="42">
        <f>LOOKUP(F$36,'Model homes'!$C$203:$C$227,'Model homes'!$F$203:$F$227)*F103</f>
        <v>40.203746879638516</v>
      </c>
      <c r="G114" s="42">
        <f>LOOKUP(G$36,'Model homes'!$C$203:$C$227,'Model homes'!$F$203:$F$227)*G103</f>
        <v>48.408154600183153</v>
      </c>
      <c r="H114" s="42">
        <f>LOOKUP(H$36,'Model homes'!$C$203:$C$227,'Model homes'!$F$203:$F$227)*H103</f>
        <v>45.030841488542478</v>
      </c>
      <c r="J114" s="210" t="s">
        <v>19</v>
      </c>
      <c r="L114" s="207" t="s">
        <v>536</v>
      </c>
      <c r="M114" s="42">
        <f>LOOKUP(E$36,'Model homes'!$C$351:$C$375,'Model homes'!$E$351:$E$375)*M103</f>
        <v>2.2006751982590531</v>
      </c>
      <c r="N114" s="42">
        <f>LOOKUP(F$36,'Model homes'!$C$351:$C$375,'Model homes'!$E$351:$E$375)*N103</f>
        <v>2.047139719310747</v>
      </c>
      <c r="O114" s="42">
        <f>LOOKUP(G$36,'Model homes'!$C$351:$C$375,'Model homes'!$E$351:$E$375)*O103</f>
        <v>2.4649010033131828</v>
      </c>
      <c r="P114" s="42">
        <f>LOOKUP(H$36,'Model homes'!$C$351:$C$375,'Model homes'!$E$351:$E$375)*P103</f>
        <v>2.2929311658727283</v>
      </c>
      <c r="R114" s="210" t="s">
        <v>19</v>
      </c>
      <c r="T114" s="207" t="s">
        <v>536</v>
      </c>
      <c r="U114" s="42">
        <f>LOOKUP(E$36,'Model homes'!$C$351:$C$375,'Model homes'!$F$351:$F$375)*U103</f>
        <v>7.4799937303837343</v>
      </c>
      <c r="V114" s="42">
        <f>LOOKUP(F$36,'Model homes'!$C$351:$C$375,'Model homes'!$F$351:$F$375)*V103</f>
        <v>6.9581337026825443</v>
      </c>
      <c r="W114" s="42">
        <f>LOOKUP(G$36,'Model homes'!$C$351:$C$375,'Model homes'!$F$351:$F$375)*W103</f>
        <v>8.3780850828804674</v>
      </c>
      <c r="X114" s="42">
        <f>LOOKUP(H$36,'Model homes'!$C$351:$C$375,'Model homes'!$F$351:$F$375)*X103</f>
        <v>7.7935675189585742</v>
      </c>
      <c r="Z114" s="210" t="s">
        <v>19</v>
      </c>
      <c r="AB114" s="207" t="s">
        <v>536</v>
      </c>
      <c r="AC114" s="42">
        <f>LOOKUP(E$36,'Model homes'!$C$351:$C$375,'Model homes'!$G$351:$G$375)*AC103</f>
        <v>0.21275168496646565</v>
      </c>
      <c r="AD114" s="42">
        <f>LOOKUP(F$36,'Model homes'!$C$351:$C$375,'Model homes'!$G$351:$G$375)*AD103</f>
        <v>0.19790854415485179</v>
      </c>
      <c r="AE114" s="42">
        <f>LOOKUP(G$36,'Model homes'!$C$351:$C$375,'Model homes'!$G$351:$G$375)*AE103</f>
        <v>0.2382958839838209</v>
      </c>
      <c r="AF114" s="42">
        <f>LOOKUP(H$36,'Model homes'!$C$351:$C$375,'Model homes'!$G$351:$G$375)*AF103</f>
        <v>0.22167058975239154</v>
      </c>
      <c r="AH114" s="210" t="s">
        <v>19</v>
      </c>
      <c r="AJ114" s="207" t="s">
        <v>536</v>
      </c>
      <c r="AK114" s="42">
        <f>LOOKUP(E$36,'Model homes'!$C$351:$C$375,'Model homes'!$H$351:$H$375)*AK103</f>
        <v>1.1551920547913644E-2</v>
      </c>
      <c r="AL114" s="42">
        <f>LOOKUP(F$36,'Model homes'!$C$351:$C$375,'Model homes'!$H$351:$H$375)*AL103</f>
        <v>1.0745972602710367E-2</v>
      </c>
      <c r="AM114" s="42">
        <f>LOOKUP(G$36,'Model homes'!$C$351:$C$375,'Model homes'!$H$351:$H$375)*AM103</f>
        <v>1.2938911008436169E-2</v>
      </c>
      <c r="AN114" s="42">
        <f>LOOKUP(H$36,'Model homes'!$C$351:$C$375,'Model homes'!$H$351:$H$375)*AN103</f>
        <v>1.2036196286917367E-2</v>
      </c>
    </row>
    <row r="115" spans="3:40" x14ac:dyDescent="0.3">
      <c r="C115" s="14" t="s">
        <v>20</v>
      </c>
      <c r="D115" s="84" t="s">
        <v>536</v>
      </c>
      <c r="E115" s="42">
        <f>LOOKUP(E$36,'Model homes'!$C$203:$C$227,'Model homes'!$F$203:$F$227)*E104</f>
        <v>28.99520906179178</v>
      </c>
      <c r="F115" s="42">
        <f>LOOKUP(F$36,'Model homes'!$C$203:$C$227,'Model homes'!$F$203:$F$227)*F104</f>
        <v>28.328652531635647</v>
      </c>
      <c r="G115" s="42">
        <f>LOOKUP(G$36,'Model homes'!$C$203:$C$227,'Model homes'!$F$203:$F$227)*G104</f>
        <v>31.729954562572161</v>
      </c>
      <c r="H115" s="42">
        <f>LOOKUP(H$36,'Model homes'!$C$203:$C$227,'Model homes'!$F$203:$F$227)*H104</f>
        <v>31.729954562572161</v>
      </c>
      <c r="J115" s="213" t="s">
        <v>20</v>
      </c>
      <c r="L115" s="207" t="s">
        <v>536</v>
      </c>
      <c r="M115" s="42">
        <f>LOOKUP(E$36,'Model homes'!$C$351:$C$375,'Model homes'!$E$351:$E$375)*M104</f>
        <v>0</v>
      </c>
      <c r="N115" s="42">
        <f>LOOKUP(F$36,'Model homes'!$C$351:$C$375,'Model homes'!$E$351:$E$375)*N104</f>
        <v>0</v>
      </c>
      <c r="O115" s="42">
        <f>LOOKUP(G$36,'Model homes'!$C$351:$C$375,'Model homes'!$E$351:$E$375)*O104</f>
        <v>0</v>
      </c>
      <c r="P115" s="42">
        <f>LOOKUP(H$36,'Model homes'!$C$351:$C$375,'Model homes'!$E$351:$E$375)*P104</f>
        <v>0</v>
      </c>
      <c r="R115" s="213" t="s">
        <v>20</v>
      </c>
      <c r="T115" s="207" t="s">
        <v>536</v>
      </c>
      <c r="U115" s="42">
        <f>LOOKUP(E$36,'Model homes'!$C$351:$C$375,'Model homes'!$F$351:$F$375)*U104</f>
        <v>1.3074274755628716</v>
      </c>
      <c r="V115" s="42">
        <f>LOOKUP(F$36,'Model homes'!$C$351:$C$375,'Model homes'!$F$351:$F$375)*V104</f>
        <v>1.2773716715269434</v>
      </c>
      <c r="W115" s="42">
        <f>LOOKUP(G$36,'Model homes'!$C$351:$C$375,'Model homes'!$F$351:$F$375)*W104</f>
        <v>1.4307403097201454</v>
      </c>
      <c r="X115" s="42">
        <f>LOOKUP(H$36,'Model homes'!$C$351:$C$375,'Model homes'!$F$351:$F$375)*X104</f>
        <v>1.4307403097201454</v>
      </c>
      <c r="Z115" s="213" t="s">
        <v>20</v>
      </c>
      <c r="AB115" s="207" t="s">
        <v>536</v>
      </c>
      <c r="AC115" s="42">
        <f>LOOKUP(E$36,'Model homes'!$C$351:$C$375,'Model homes'!$G$351:$G$375)*AC104</f>
        <v>0</v>
      </c>
      <c r="AD115" s="42">
        <f>LOOKUP(F$36,'Model homes'!$C$351:$C$375,'Model homes'!$G$351:$G$375)*AD104</f>
        <v>0</v>
      </c>
      <c r="AE115" s="42">
        <f>LOOKUP(G$36,'Model homes'!$C$351:$C$375,'Model homes'!$G$351:$G$375)*AE104</f>
        <v>0</v>
      </c>
      <c r="AF115" s="42">
        <f>LOOKUP(H$36,'Model homes'!$C$351:$C$375,'Model homes'!$G$351:$G$375)*AF104</f>
        <v>0</v>
      </c>
      <c r="AH115" s="213" t="s">
        <v>20</v>
      </c>
      <c r="AJ115" s="207" t="s">
        <v>536</v>
      </c>
      <c r="AK115" s="42">
        <f>LOOKUP(E$36,'Model homes'!$C$351:$C$375,'Model homes'!$H$351:$H$375)*AK104</f>
        <v>0</v>
      </c>
      <c r="AL115" s="42">
        <f>LOOKUP(F$36,'Model homes'!$C$351:$C$375,'Model homes'!$H$351:$H$375)*AL104</f>
        <v>0</v>
      </c>
      <c r="AM115" s="42">
        <f>LOOKUP(G$36,'Model homes'!$C$351:$C$375,'Model homes'!$H$351:$H$375)*AM104</f>
        <v>0</v>
      </c>
      <c r="AN115" s="42">
        <f>LOOKUP(H$36,'Model homes'!$C$351:$C$375,'Model homes'!$H$351:$H$375)*AN104</f>
        <v>0</v>
      </c>
    </row>
    <row r="116" spans="3:40" x14ac:dyDescent="0.3">
      <c r="C116" s="14" t="s">
        <v>21</v>
      </c>
      <c r="D116" s="84" t="s">
        <v>536</v>
      </c>
      <c r="E116" s="42" t="e">
        <f>LOOKUP(E$36,'Model homes'!$C$203:$C$227,'Model homes'!$F$203:$F$227)*E105</f>
        <v>#N/A</v>
      </c>
      <c r="F116" s="42" t="e">
        <f>LOOKUP(F$36,'Model homes'!$C$203:$C$227,'Model homes'!$F$203:$F$227)*F105</f>
        <v>#N/A</v>
      </c>
      <c r="G116" s="42" t="e">
        <f>LOOKUP(G$36,'Model homes'!$C$203:$C$227,'Model homes'!$F$203:$F$227)*G105</f>
        <v>#N/A</v>
      </c>
      <c r="H116" s="42" t="e">
        <f>LOOKUP(H$36,'Model homes'!$C$203:$C$227,'Model homes'!$F$203:$F$227)*H105</f>
        <v>#N/A</v>
      </c>
      <c r="J116" s="213" t="s">
        <v>21</v>
      </c>
      <c r="L116" s="207" t="s">
        <v>536</v>
      </c>
      <c r="M116" s="159" t="e">
        <f>LOOKUP(E$36,'Model homes'!$C$351:$C$375,'Model homes'!$E$351:$E$375)*M105</f>
        <v>#DIV/0!</v>
      </c>
      <c r="N116" s="159" t="e">
        <f>LOOKUP(F$36,'Model homes'!$C$351:$C$375,'Model homes'!$E$351:$E$375)*N105</f>
        <v>#DIV/0!</v>
      </c>
      <c r="O116" s="159" t="e">
        <f>LOOKUP(G$36,'Model homes'!$C$351:$C$375,'Model homes'!$E$351:$E$375)*O105</f>
        <v>#DIV/0!</v>
      </c>
      <c r="P116" s="159" t="e">
        <f>LOOKUP(H$36,'Model homes'!$C$351:$C$375,'Model homes'!$E$351:$E$375)*P105</f>
        <v>#DIV/0!</v>
      </c>
      <c r="R116" s="213" t="s">
        <v>21</v>
      </c>
      <c r="T116" s="207" t="s">
        <v>536</v>
      </c>
      <c r="U116" s="159" t="e">
        <f>LOOKUP(E$36,'Model homes'!$C$351:$C$375,'Model homes'!$F$351:$F$375)*U105</f>
        <v>#DIV/0!</v>
      </c>
      <c r="V116" s="159" t="e">
        <f>LOOKUP(F$36,'Model homes'!$C$351:$C$375,'Model homes'!$F$351:$F$375)*V105</f>
        <v>#DIV/0!</v>
      </c>
      <c r="W116" s="159" t="e">
        <f>LOOKUP(G$36,'Model homes'!$C$351:$C$375,'Model homes'!$F$351:$F$375)*W105</f>
        <v>#DIV/0!</v>
      </c>
      <c r="X116" s="159" t="e">
        <f>LOOKUP(H$36,'Model homes'!$C$351:$C$375,'Model homes'!$F$351:$F$375)*X105</f>
        <v>#DIV/0!</v>
      </c>
      <c r="Z116" s="213" t="s">
        <v>21</v>
      </c>
      <c r="AB116" s="207" t="s">
        <v>536</v>
      </c>
      <c r="AC116" s="159" t="e">
        <f>LOOKUP(E$36,'Model homes'!$C$351:$C$375,'Model homes'!$G$351:$G$375)*AC105</f>
        <v>#DIV/0!</v>
      </c>
      <c r="AD116" s="159" t="e">
        <f>LOOKUP(F$36,'Model homes'!$C$351:$C$375,'Model homes'!$G$351:$G$375)*AD105</f>
        <v>#DIV/0!</v>
      </c>
      <c r="AE116" s="159" t="e">
        <f>LOOKUP(G$36,'Model homes'!$C$351:$C$375,'Model homes'!$G$351:$G$375)*AE105</f>
        <v>#DIV/0!</v>
      </c>
      <c r="AF116" s="159" t="e">
        <f>LOOKUP(H$36,'Model homes'!$C$351:$C$375,'Model homes'!$G$351:$G$375)*AF105</f>
        <v>#DIV/0!</v>
      </c>
      <c r="AH116" s="213" t="s">
        <v>21</v>
      </c>
      <c r="AJ116" s="207" t="s">
        <v>536</v>
      </c>
      <c r="AK116" s="159" t="e">
        <f>LOOKUP(E$36,'Model homes'!$C$351:$C$375,'Model homes'!$H$351:$H$375)*AK105</f>
        <v>#DIV/0!</v>
      </c>
      <c r="AL116" s="159" t="e">
        <f>LOOKUP(F$36,'Model homes'!$C$351:$C$375,'Model homes'!$H$351:$H$375)*AL105</f>
        <v>#DIV/0!</v>
      </c>
      <c r="AM116" s="159" t="e">
        <f>LOOKUP(G$36,'Model homes'!$C$351:$C$375,'Model homes'!$H$351:$H$375)*AM105</f>
        <v>#DIV/0!</v>
      </c>
      <c r="AN116" s="159" t="e">
        <f>LOOKUP(H$36,'Model homes'!$C$351:$C$375,'Model homes'!$H$351:$H$375)*AN105</f>
        <v>#DIV/0!</v>
      </c>
    </row>
    <row r="117" spans="3:40" x14ac:dyDescent="0.3">
      <c r="C117" s="14" t="s">
        <v>22</v>
      </c>
      <c r="D117" s="84" t="s">
        <v>536</v>
      </c>
      <c r="E117" s="42" t="e">
        <f>LOOKUP(E$36,'Model homes'!$C$203:$C$227,'Model homes'!$F$203:$F$227)*E106</f>
        <v>#N/A</v>
      </c>
      <c r="F117" s="42" t="e">
        <f>LOOKUP(F$36,'Model homes'!$C$203:$C$227,'Model homes'!$F$203:$F$227)*F106</f>
        <v>#N/A</v>
      </c>
      <c r="G117" s="42" t="e">
        <f>LOOKUP(G$36,'Model homes'!$C$203:$C$227,'Model homes'!$F$203:$F$227)*G106</f>
        <v>#N/A</v>
      </c>
      <c r="H117" s="42" t="e">
        <f>LOOKUP(H$36,'Model homes'!$C$203:$C$227,'Model homes'!$F$203:$F$227)*H106</f>
        <v>#N/A</v>
      </c>
      <c r="J117" s="213" t="s">
        <v>22</v>
      </c>
      <c r="L117" s="207" t="s">
        <v>536</v>
      </c>
      <c r="M117" s="159" t="e">
        <f>LOOKUP(E$36,'Model homes'!$C$351:$C$375,'Model homes'!$E$351:$E$375)*M106</f>
        <v>#DIV/0!</v>
      </c>
      <c r="N117" s="159" t="e">
        <f>LOOKUP(F$36,'Model homes'!$C$351:$C$375,'Model homes'!$E$351:$E$375)*N106</f>
        <v>#DIV/0!</v>
      </c>
      <c r="O117" s="159" t="e">
        <f>LOOKUP(G$36,'Model homes'!$C$351:$C$375,'Model homes'!$E$351:$E$375)*O106</f>
        <v>#DIV/0!</v>
      </c>
      <c r="P117" s="159" t="e">
        <f>LOOKUP(H$36,'Model homes'!$C$351:$C$375,'Model homes'!$E$351:$E$375)*P106</f>
        <v>#DIV/0!</v>
      </c>
      <c r="R117" s="213" t="s">
        <v>22</v>
      </c>
      <c r="T117" s="207" t="s">
        <v>536</v>
      </c>
      <c r="U117" s="159" t="e">
        <f>LOOKUP(E$36,'Model homes'!$C$351:$C$375,'Model homes'!$F$351:$F$375)*U106</f>
        <v>#DIV/0!</v>
      </c>
      <c r="V117" s="159" t="e">
        <f>LOOKUP(F$36,'Model homes'!$C$351:$C$375,'Model homes'!$F$351:$F$375)*V106</f>
        <v>#DIV/0!</v>
      </c>
      <c r="W117" s="159" t="e">
        <f>LOOKUP(G$36,'Model homes'!$C$351:$C$375,'Model homes'!$F$351:$F$375)*W106</f>
        <v>#DIV/0!</v>
      </c>
      <c r="X117" s="159" t="e">
        <f>LOOKUP(H$36,'Model homes'!$C$351:$C$375,'Model homes'!$F$351:$F$375)*X106</f>
        <v>#DIV/0!</v>
      </c>
      <c r="Z117" s="213" t="s">
        <v>22</v>
      </c>
      <c r="AB117" s="207" t="s">
        <v>536</v>
      </c>
      <c r="AC117" s="159" t="e">
        <f>LOOKUP(E$36,'Model homes'!$C$351:$C$375,'Model homes'!$G$351:$G$375)*AC106</f>
        <v>#DIV/0!</v>
      </c>
      <c r="AD117" s="159" t="e">
        <f>LOOKUP(F$36,'Model homes'!$C$351:$C$375,'Model homes'!$G$351:$G$375)*AD106</f>
        <v>#DIV/0!</v>
      </c>
      <c r="AE117" s="159" t="e">
        <f>LOOKUP(G$36,'Model homes'!$C$351:$C$375,'Model homes'!$G$351:$G$375)*AE106</f>
        <v>#DIV/0!</v>
      </c>
      <c r="AF117" s="159" t="e">
        <f>LOOKUP(H$36,'Model homes'!$C$351:$C$375,'Model homes'!$G$351:$G$375)*AF106</f>
        <v>#DIV/0!</v>
      </c>
      <c r="AH117" s="213" t="s">
        <v>22</v>
      </c>
      <c r="AJ117" s="207" t="s">
        <v>536</v>
      </c>
      <c r="AK117" s="159" t="e">
        <f>LOOKUP(E$36,'Model homes'!$C$351:$C$375,'Model homes'!$H$351:$H$375)*AK106</f>
        <v>#DIV/0!</v>
      </c>
      <c r="AL117" s="159" t="e">
        <f>LOOKUP(F$36,'Model homes'!$C$351:$C$375,'Model homes'!$H$351:$H$375)*AL106</f>
        <v>#DIV/0!</v>
      </c>
      <c r="AM117" s="159" t="e">
        <f>LOOKUP(G$36,'Model homes'!$C$351:$C$375,'Model homes'!$H$351:$H$375)*AM106</f>
        <v>#DIV/0!</v>
      </c>
      <c r="AN117" s="159" t="e">
        <f>LOOKUP(H$36,'Model homes'!$C$351:$C$375,'Model homes'!$H$351:$H$375)*AN106</f>
        <v>#DIV/0!</v>
      </c>
    </row>
    <row r="118" spans="3:40" x14ac:dyDescent="0.3">
      <c r="C118" s="96"/>
      <c r="D118" s="96"/>
      <c r="E118" s="55"/>
      <c r="F118" s="55"/>
      <c r="G118" s="55"/>
      <c r="H118" s="55"/>
    </row>
    <row r="119" spans="3:40" x14ac:dyDescent="0.3">
      <c r="C119" s="15" t="s">
        <v>303</v>
      </c>
      <c r="D119" s="17" t="s">
        <v>301</v>
      </c>
      <c r="E119" s="94">
        <f>'Model homes'!E$170</f>
        <v>0.03</v>
      </c>
    </row>
    <row r="121" spans="3:40" x14ac:dyDescent="0.3">
      <c r="C121" s="51" t="s">
        <v>537</v>
      </c>
      <c r="E121" s="209"/>
      <c r="J121" s="51" t="s">
        <v>538</v>
      </c>
    </row>
    <row r="122" spans="3:40" x14ac:dyDescent="0.3">
      <c r="C122" s="209" t="s">
        <v>14</v>
      </c>
      <c r="D122" s="207" t="s">
        <v>536</v>
      </c>
      <c r="E122" s="159" t="e">
        <f>M109+U109+AC109+AK109</f>
        <v>#DIV/0!</v>
      </c>
      <c r="F122" s="159" t="e">
        <f t="shared" ref="E122:H128" si="31">N109+V109+AD109+AL109</f>
        <v>#DIV/0!</v>
      </c>
      <c r="G122" s="159" t="e">
        <f t="shared" si="31"/>
        <v>#DIV/0!</v>
      </c>
      <c r="H122" s="159" t="e">
        <f t="shared" si="31"/>
        <v>#DIV/0!</v>
      </c>
      <c r="J122" s="63">
        <f>(1-(((1+'Model homes'!$E159)/(1+E$119))^E$36))/(E$119-'Model homes'!$E159)</f>
        <v>9.4993760220285992</v>
      </c>
    </row>
    <row r="123" spans="3:40" x14ac:dyDescent="0.3">
      <c r="C123" s="213" t="s">
        <v>15</v>
      </c>
      <c r="D123" s="207" t="s">
        <v>536</v>
      </c>
      <c r="E123" s="42">
        <f t="shared" si="31"/>
        <v>6.2251099493089042</v>
      </c>
      <c r="F123" s="42">
        <f t="shared" si="31"/>
        <v>5.7804592386439833</v>
      </c>
      <c r="G123" s="42">
        <f t="shared" si="31"/>
        <v>6.7643973857560535</v>
      </c>
      <c r="H123" s="42">
        <f t="shared" si="31"/>
        <v>6.4744946406522237</v>
      </c>
      <c r="J123" s="63">
        <f>(1-(((1+'Model homes'!$E160)/(1+E$119))^E$36))/(E$119-'Model homes'!$E160)</f>
        <v>9.2953669788838358</v>
      </c>
    </row>
    <row r="124" spans="3:40" x14ac:dyDescent="0.3">
      <c r="C124" s="210" t="s">
        <v>16</v>
      </c>
      <c r="D124" s="207" t="s">
        <v>536</v>
      </c>
      <c r="E124" s="42">
        <f t="shared" si="31"/>
        <v>5.0579018338134842</v>
      </c>
      <c r="F124" s="42">
        <f t="shared" si="31"/>
        <v>4.8170493655366515</v>
      </c>
      <c r="G124" s="42">
        <f t="shared" si="31"/>
        <v>5.5270076200689724</v>
      </c>
      <c r="H124" s="42">
        <f t="shared" si="31"/>
        <v>5.395412200543519</v>
      </c>
      <c r="J124" s="63">
        <f>(1-(((1+'Model homes'!$E161)/(1+E$119))^E$36))/(E$119-'Model homes'!$E161)</f>
        <v>9.4993760220285992</v>
      </c>
    </row>
    <row r="125" spans="3:40" x14ac:dyDescent="0.3">
      <c r="C125" s="210" t="s">
        <v>17</v>
      </c>
      <c r="D125" s="207" t="s">
        <v>536</v>
      </c>
      <c r="E125" s="42">
        <f t="shared" si="31"/>
        <v>6.8175212666628191</v>
      </c>
      <c r="F125" s="42">
        <f t="shared" si="31"/>
        <v>6.3305554619011906</v>
      </c>
      <c r="G125" s="42">
        <f t="shared" si="31"/>
        <v>7.6360723397983223</v>
      </c>
      <c r="H125" s="42">
        <f t="shared" si="31"/>
        <v>7.0906386012413005</v>
      </c>
      <c r="J125" s="63">
        <f>(1-(((1+'Model homes'!$E162)/(1+E$119))^E$36))/(E$119-'Model homes'!$E162)</f>
        <v>9.4993760220285992</v>
      </c>
    </row>
    <row r="126" spans="3:40" x14ac:dyDescent="0.3">
      <c r="C126" s="210" t="s">
        <v>18</v>
      </c>
      <c r="D126" s="207" t="s">
        <v>536</v>
      </c>
      <c r="E126" s="42">
        <f t="shared" si="31"/>
        <v>9.9049725341571673</v>
      </c>
      <c r="F126" s="42">
        <f t="shared" si="31"/>
        <v>9.322327090971454</v>
      </c>
      <c r="G126" s="42">
        <f t="shared" si="31"/>
        <v>11.094220881185908</v>
      </c>
      <c r="H126" s="42">
        <f t="shared" si="31"/>
        <v>10.441619652880853</v>
      </c>
      <c r="J126" s="63">
        <f>(1-(((1+'Model homes'!$E163)/(1+E$119))^E$36))/(E$119-'Model homes'!$E163)</f>
        <v>9.4993760220285992</v>
      </c>
    </row>
    <row r="127" spans="3:40" x14ac:dyDescent="0.3">
      <c r="C127" s="210" t="s">
        <v>19</v>
      </c>
      <c r="D127" s="207" t="s">
        <v>536</v>
      </c>
      <c r="E127" s="42">
        <f t="shared" si="31"/>
        <v>9.9049725341571673</v>
      </c>
      <c r="F127" s="42">
        <f t="shared" si="31"/>
        <v>9.2139279387508513</v>
      </c>
      <c r="G127" s="42">
        <f t="shared" si="31"/>
        <v>11.094220881185908</v>
      </c>
      <c r="H127" s="42">
        <f t="shared" si="31"/>
        <v>10.320205470870611</v>
      </c>
      <c r="J127" s="63">
        <f>(1-(((1+'Model homes'!$E164)/(1+E$119))^E$36))/(E$119-'Model homes'!$E164)</f>
        <v>9.4993760220285992</v>
      </c>
    </row>
    <row r="128" spans="3:40" x14ac:dyDescent="0.3">
      <c r="C128" s="213" t="s">
        <v>20</v>
      </c>
      <c r="D128" s="207" t="s">
        <v>536</v>
      </c>
      <c r="E128" s="42">
        <f t="shared" si="31"/>
        <v>1.3074274755628716</v>
      </c>
      <c r="F128" s="42">
        <f t="shared" si="31"/>
        <v>1.2773716715269434</v>
      </c>
      <c r="G128" s="42">
        <f t="shared" si="31"/>
        <v>1.4307403097201454</v>
      </c>
      <c r="H128" s="42">
        <f t="shared" si="31"/>
        <v>1.4307403097201454</v>
      </c>
      <c r="J128" s="63">
        <f>(1-(((1+'Model homes'!$E165)/(1+E$119))^E$36))/(E$119-'Model homes'!$E165)</f>
        <v>9.6664306788023762</v>
      </c>
    </row>
    <row r="129" spans="2:14" x14ac:dyDescent="0.3">
      <c r="C129" s="213" t="s">
        <v>21</v>
      </c>
      <c r="D129" s="207" t="s">
        <v>536</v>
      </c>
      <c r="E129" s="159" t="e">
        <f t="shared" ref="E129:H130" si="32">M116+U116+AC116+AK116</f>
        <v>#DIV/0!</v>
      </c>
      <c r="F129" s="159" t="e">
        <f t="shared" si="32"/>
        <v>#DIV/0!</v>
      </c>
      <c r="G129" s="159" t="e">
        <f t="shared" si="32"/>
        <v>#DIV/0!</v>
      </c>
      <c r="H129" s="159" t="e">
        <f t="shared" si="32"/>
        <v>#DIV/0!</v>
      </c>
      <c r="J129" s="63">
        <f>(1-(((1+'Model homes'!$E166)/(1+E$119))^E$36))/(E$119-'Model homes'!$E166)</f>
        <v>9.4993760220285992</v>
      </c>
    </row>
    <row r="130" spans="2:14" x14ac:dyDescent="0.3">
      <c r="C130" s="213" t="s">
        <v>22</v>
      </c>
      <c r="D130" s="207" t="s">
        <v>536</v>
      </c>
      <c r="E130" s="159" t="e">
        <f t="shared" si="32"/>
        <v>#DIV/0!</v>
      </c>
      <c r="F130" s="159" t="e">
        <f t="shared" si="32"/>
        <v>#DIV/0!</v>
      </c>
      <c r="G130" s="159" t="e">
        <f t="shared" si="32"/>
        <v>#DIV/0!</v>
      </c>
      <c r="H130" s="159" t="e">
        <f t="shared" si="32"/>
        <v>#DIV/0!</v>
      </c>
      <c r="J130" s="63">
        <f>(1-(((1+'Model homes'!$E167)/(1+E$119))^E$36))/(E$119-'Model homes'!$E167)</f>
        <v>9.4993760220285992</v>
      </c>
    </row>
    <row r="132" spans="2:14" ht="20.25" x14ac:dyDescent="0.35">
      <c r="C132" s="81" t="s">
        <v>747</v>
      </c>
    </row>
    <row r="133" spans="2:14" s="18" customFormat="1" ht="17.25" thickBot="1" x14ac:dyDescent="0.35">
      <c r="B133" s="19" t="s">
        <v>153</v>
      </c>
      <c r="C133" s="19" t="s">
        <v>154</v>
      </c>
      <c r="D133" s="19" t="s">
        <v>32</v>
      </c>
      <c r="E133" s="19" t="s">
        <v>155</v>
      </c>
      <c r="F133" s="19"/>
      <c r="G133" s="19" t="s">
        <v>155</v>
      </c>
      <c r="H133" s="19"/>
      <c r="I133" s="19"/>
      <c r="J133" s="56" t="s">
        <v>156</v>
      </c>
      <c r="K133" s="56"/>
    </row>
    <row r="134" spans="2:14" s="30" customFormat="1" ht="18" thickTop="1" thickBot="1" x14ac:dyDescent="0.35">
      <c r="B134" s="28"/>
      <c r="C134" s="29" t="s">
        <v>157</v>
      </c>
      <c r="D134" s="29"/>
      <c r="E134" s="335" t="s">
        <v>5</v>
      </c>
      <c r="F134" s="335"/>
      <c r="G134" s="335" t="s">
        <v>6</v>
      </c>
      <c r="H134" s="335"/>
      <c r="I134" s="28"/>
      <c r="J134" s="28"/>
      <c r="K134" s="57"/>
      <c r="M134" s="20"/>
    </row>
    <row r="135" spans="2:14" ht="18" thickTop="1" thickBot="1" x14ac:dyDescent="0.35">
      <c r="B135" s="19"/>
      <c r="C135" s="29" t="s">
        <v>158</v>
      </c>
      <c r="D135" s="29"/>
      <c r="E135" s="29" t="s">
        <v>7</v>
      </c>
      <c r="F135" s="29" t="s">
        <v>8</v>
      </c>
      <c r="G135" s="29" t="s">
        <v>7</v>
      </c>
      <c r="H135" s="29" t="s">
        <v>8</v>
      </c>
      <c r="I135" s="19"/>
      <c r="J135" s="19"/>
      <c r="K135" s="56"/>
      <c r="M135" s="82"/>
      <c r="N135" s="82"/>
    </row>
    <row r="136" spans="2:14" ht="17.25" thickTop="1" x14ac:dyDescent="0.3">
      <c r="C136" s="20" t="s">
        <v>14</v>
      </c>
      <c r="D136" s="20" t="s">
        <v>540</v>
      </c>
      <c r="E136" s="38">
        <f>'Campaign Input'!$G$12*'Data Input'!B$9*'Data Input'!B16</f>
        <v>0</v>
      </c>
      <c r="F136" s="38">
        <f>'Campaign Input'!$G$12*'Data Input'!C$9*'Data Input'!C16</f>
        <v>0</v>
      </c>
      <c r="G136" s="38">
        <f>'Campaign Input'!$G$12*'Data Input'!D$9*'Data Input'!D16</f>
        <v>0</v>
      </c>
      <c r="H136" s="38">
        <f>'Campaign Input'!$G$12*'Data Input'!E$9*'Data Input'!E16</f>
        <v>0</v>
      </c>
    </row>
    <row r="137" spans="2:14" x14ac:dyDescent="0.3">
      <c r="C137" s="14" t="s">
        <v>15</v>
      </c>
      <c r="D137" s="20" t="s">
        <v>540</v>
      </c>
      <c r="E137" s="38">
        <f>'Campaign Input'!$G$12*'Data Input'!B$9*'Data Input'!B17</f>
        <v>0</v>
      </c>
      <c r="F137" s="38">
        <f>'Campaign Input'!$G$12*'Data Input'!C$9*'Data Input'!C17</f>
        <v>0</v>
      </c>
      <c r="G137" s="38">
        <f>'Campaign Input'!$G$12*'Data Input'!D$9*'Data Input'!D17</f>
        <v>0</v>
      </c>
      <c r="H137" s="38">
        <f>'Campaign Input'!$G$12*'Data Input'!E$9*'Data Input'!E17</f>
        <v>0</v>
      </c>
    </row>
    <row r="138" spans="2:14" x14ac:dyDescent="0.3">
      <c r="C138" s="15" t="s">
        <v>16</v>
      </c>
      <c r="D138" s="20" t="s">
        <v>540</v>
      </c>
      <c r="E138" s="38">
        <f>'Campaign Input'!$G$12*'Data Input'!B$9*'Data Input'!B18</f>
        <v>0</v>
      </c>
      <c r="F138" s="38">
        <f>'Campaign Input'!$G$12*'Data Input'!C$9*'Data Input'!C18</f>
        <v>0</v>
      </c>
      <c r="G138" s="38">
        <f>'Campaign Input'!$G$12*'Data Input'!D$9*'Data Input'!D18</f>
        <v>0</v>
      </c>
      <c r="H138" s="38">
        <f>'Campaign Input'!$G$12*'Data Input'!E$9*'Data Input'!E18</f>
        <v>0</v>
      </c>
    </row>
    <row r="139" spans="2:14" x14ac:dyDescent="0.3">
      <c r="C139" s="15" t="s">
        <v>17</v>
      </c>
      <c r="D139" s="20" t="s">
        <v>540</v>
      </c>
      <c r="E139" s="38">
        <f>'Campaign Input'!$G$12*'Data Input'!B$9*'Data Input'!B19</f>
        <v>0</v>
      </c>
      <c r="F139" s="38">
        <f>'Campaign Input'!$G$12*'Data Input'!C$9*'Data Input'!C19</f>
        <v>0</v>
      </c>
      <c r="G139" s="38">
        <f>'Campaign Input'!$G$12*'Data Input'!D$9*'Data Input'!D19</f>
        <v>0</v>
      </c>
      <c r="H139" s="38">
        <f>'Campaign Input'!$G$12*'Data Input'!E$9*'Data Input'!E19</f>
        <v>0</v>
      </c>
    </row>
    <row r="140" spans="2:14" x14ac:dyDescent="0.3">
      <c r="C140" s="15" t="s">
        <v>18</v>
      </c>
      <c r="D140" s="20" t="s">
        <v>540</v>
      </c>
      <c r="E140" s="38">
        <f>'Campaign Input'!$G$12*'Data Input'!B$9*'Data Input'!B20</f>
        <v>0</v>
      </c>
      <c r="F140" s="38">
        <f>'Campaign Input'!$G$12*'Data Input'!C$9*'Data Input'!C20</f>
        <v>0</v>
      </c>
      <c r="G140" s="38">
        <f>'Campaign Input'!$G$12*'Data Input'!D$9*'Data Input'!D20</f>
        <v>0</v>
      </c>
      <c r="H140" s="38">
        <f>'Campaign Input'!$G$12*'Data Input'!E$9*'Data Input'!E20</f>
        <v>0</v>
      </c>
    </row>
    <row r="141" spans="2:14" x14ac:dyDescent="0.3">
      <c r="C141" s="15" t="s">
        <v>19</v>
      </c>
      <c r="D141" s="20" t="s">
        <v>540</v>
      </c>
      <c r="E141" s="38">
        <f>'Campaign Input'!$G$12*'Data Input'!B$9*'Data Input'!B21</f>
        <v>0</v>
      </c>
      <c r="F141" s="38">
        <f>'Campaign Input'!$G$12*'Data Input'!C$9*'Data Input'!C21</f>
        <v>0</v>
      </c>
      <c r="G141" s="38">
        <f>'Campaign Input'!$G$12*'Data Input'!D$9*'Data Input'!D21</f>
        <v>0</v>
      </c>
      <c r="H141" s="38">
        <f>'Campaign Input'!$G$12*'Data Input'!E$9*'Data Input'!E21</f>
        <v>0</v>
      </c>
    </row>
    <row r="142" spans="2:14" x14ac:dyDescent="0.3">
      <c r="C142" s="14" t="s">
        <v>20</v>
      </c>
      <c r="D142" s="20" t="s">
        <v>540</v>
      </c>
      <c r="E142" s="38">
        <f>'Campaign Input'!$G$12*'Data Input'!B$9*'Data Input'!B22</f>
        <v>0</v>
      </c>
      <c r="F142" s="38">
        <f>'Campaign Input'!$G$12*'Data Input'!C$9*'Data Input'!C22</f>
        <v>0</v>
      </c>
      <c r="G142" s="38">
        <f>'Campaign Input'!$G$12*'Data Input'!D$9*'Data Input'!D22</f>
        <v>0</v>
      </c>
      <c r="H142" s="38">
        <f>'Campaign Input'!$G$12*'Data Input'!E$9*'Data Input'!E22</f>
        <v>0</v>
      </c>
    </row>
    <row r="143" spans="2:14" x14ac:dyDescent="0.3">
      <c r="C143" s="14" t="s">
        <v>21</v>
      </c>
      <c r="D143" s="20" t="s">
        <v>540</v>
      </c>
      <c r="E143" s="38">
        <f>'Campaign Input'!$G$12*'Data Input'!B$9*'Data Input'!B23</f>
        <v>0</v>
      </c>
      <c r="F143" s="38">
        <f>'Campaign Input'!$G$12*'Data Input'!C$9*'Data Input'!C23</f>
        <v>0</v>
      </c>
      <c r="G143" s="38">
        <f>'Campaign Input'!$G$12*'Data Input'!D$9*'Data Input'!D23</f>
        <v>0</v>
      </c>
      <c r="H143" s="38">
        <f>'Campaign Input'!$G$12*'Data Input'!E$9*'Data Input'!E23</f>
        <v>0</v>
      </c>
    </row>
    <row r="144" spans="2:14" x14ac:dyDescent="0.3">
      <c r="C144" s="14" t="s">
        <v>22</v>
      </c>
      <c r="D144" s="20" t="s">
        <v>540</v>
      </c>
      <c r="E144" s="38">
        <f>'Campaign Input'!$G$12*'Data Input'!B$9*'Data Input'!B24</f>
        <v>0</v>
      </c>
      <c r="F144" s="38">
        <f>'Campaign Input'!$G$12*'Data Input'!C$9*'Data Input'!C24</f>
        <v>0</v>
      </c>
      <c r="G144" s="38">
        <f>'Campaign Input'!$G$12*'Data Input'!D$9*'Data Input'!D24</f>
        <v>0</v>
      </c>
      <c r="H144" s="38">
        <f>'Campaign Input'!$G$12*'Data Input'!E$9*'Data Input'!E24</f>
        <v>0</v>
      </c>
    </row>
    <row r="146" spans="3:10" x14ac:dyDescent="0.3">
      <c r="C146" s="51" t="s">
        <v>603</v>
      </c>
      <c r="D146" s="207"/>
      <c r="E146" s="208"/>
    </row>
    <row r="147" spans="3:10" x14ac:dyDescent="0.3">
      <c r="C147" s="209" t="s">
        <v>14</v>
      </c>
      <c r="D147" s="210" t="s">
        <v>69</v>
      </c>
      <c r="E147" s="42">
        <f>E$29*E136</f>
        <v>0</v>
      </c>
      <c r="F147" s="42">
        <f t="shared" ref="F147:H147" si="33">F$29*F136</f>
        <v>0</v>
      </c>
      <c r="G147" s="42">
        <f t="shared" si="33"/>
        <v>0</v>
      </c>
      <c r="H147" s="42">
        <f t="shared" si="33"/>
        <v>0</v>
      </c>
    </row>
    <row r="148" spans="3:10" x14ac:dyDescent="0.3">
      <c r="C148" s="213" t="s">
        <v>15</v>
      </c>
      <c r="D148" s="210" t="s">
        <v>69</v>
      </c>
      <c r="E148" s="42">
        <f t="shared" ref="E148:H155" si="34">E$29*E137</f>
        <v>0</v>
      </c>
      <c r="F148" s="42">
        <f t="shared" si="34"/>
        <v>0</v>
      </c>
      <c r="G148" s="42">
        <f t="shared" si="34"/>
        <v>0</v>
      </c>
      <c r="H148" s="42">
        <f t="shared" si="34"/>
        <v>0</v>
      </c>
    </row>
    <row r="149" spans="3:10" x14ac:dyDescent="0.3">
      <c r="C149" s="210" t="s">
        <v>16</v>
      </c>
      <c r="D149" s="210" t="s">
        <v>69</v>
      </c>
      <c r="E149" s="42">
        <f t="shared" si="34"/>
        <v>0</v>
      </c>
      <c r="F149" s="42">
        <f t="shared" si="34"/>
        <v>0</v>
      </c>
      <c r="G149" s="42">
        <f t="shared" si="34"/>
        <v>0</v>
      </c>
      <c r="H149" s="42">
        <f t="shared" si="34"/>
        <v>0</v>
      </c>
    </row>
    <row r="150" spans="3:10" x14ac:dyDescent="0.3">
      <c r="C150" s="210" t="s">
        <v>17</v>
      </c>
      <c r="D150" s="210" t="s">
        <v>69</v>
      </c>
      <c r="E150" s="42">
        <f t="shared" si="34"/>
        <v>0</v>
      </c>
      <c r="F150" s="42">
        <f t="shared" si="34"/>
        <v>0</v>
      </c>
      <c r="G150" s="42">
        <f t="shared" si="34"/>
        <v>0</v>
      </c>
      <c r="H150" s="42">
        <f t="shared" si="34"/>
        <v>0</v>
      </c>
    </row>
    <row r="151" spans="3:10" x14ac:dyDescent="0.3">
      <c r="C151" s="210" t="s">
        <v>18</v>
      </c>
      <c r="D151" s="210" t="s">
        <v>69</v>
      </c>
      <c r="E151" s="42">
        <f t="shared" si="34"/>
        <v>0</v>
      </c>
      <c r="F151" s="42">
        <f t="shared" si="34"/>
        <v>0</v>
      </c>
      <c r="G151" s="42">
        <f t="shared" si="34"/>
        <v>0</v>
      </c>
      <c r="H151" s="42">
        <f t="shared" si="34"/>
        <v>0</v>
      </c>
    </row>
    <row r="152" spans="3:10" x14ac:dyDescent="0.3">
      <c r="C152" s="210" t="s">
        <v>19</v>
      </c>
      <c r="D152" s="210" t="s">
        <v>69</v>
      </c>
      <c r="E152" s="42">
        <f t="shared" si="34"/>
        <v>0</v>
      </c>
      <c r="F152" s="42">
        <f t="shared" si="34"/>
        <v>0</v>
      </c>
      <c r="G152" s="42">
        <f t="shared" si="34"/>
        <v>0</v>
      </c>
      <c r="H152" s="42">
        <f t="shared" si="34"/>
        <v>0</v>
      </c>
    </row>
    <row r="153" spans="3:10" x14ac:dyDescent="0.3">
      <c r="C153" s="213" t="s">
        <v>20</v>
      </c>
      <c r="D153" s="210" t="s">
        <v>69</v>
      </c>
      <c r="E153" s="42">
        <f t="shared" si="34"/>
        <v>0</v>
      </c>
      <c r="F153" s="42">
        <f t="shared" si="34"/>
        <v>0</v>
      </c>
      <c r="G153" s="42">
        <f t="shared" si="34"/>
        <v>0</v>
      </c>
      <c r="H153" s="42">
        <f t="shared" si="34"/>
        <v>0</v>
      </c>
    </row>
    <row r="154" spans="3:10" x14ac:dyDescent="0.3">
      <c r="C154" s="213" t="s">
        <v>21</v>
      </c>
      <c r="D154" s="210" t="s">
        <v>69</v>
      </c>
      <c r="E154" s="42">
        <f t="shared" si="34"/>
        <v>0</v>
      </c>
      <c r="F154" s="42">
        <f t="shared" si="34"/>
        <v>0</v>
      </c>
      <c r="G154" s="42">
        <f t="shared" si="34"/>
        <v>0</v>
      </c>
      <c r="H154" s="42">
        <f t="shared" si="34"/>
        <v>0</v>
      </c>
    </row>
    <row r="155" spans="3:10" x14ac:dyDescent="0.3">
      <c r="C155" s="213" t="s">
        <v>22</v>
      </c>
      <c r="D155" s="210" t="s">
        <v>69</v>
      </c>
      <c r="E155" s="42">
        <f t="shared" si="34"/>
        <v>0</v>
      </c>
      <c r="F155" s="42">
        <f t="shared" si="34"/>
        <v>0</v>
      </c>
      <c r="G155" s="42">
        <f t="shared" si="34"/>
        <v>0</v>
      </c>
      <c r="H155" s="42">
        <f t="shared" si="34"/>
        <v>0</v>
      </c>
    </row>
    <row r="156" spans="3:10" x14ac:dyDescent="0.3">
      <c r="C156" s="216" t="s">
        <v>54</v>
      </c>
      <c r="D156" s="210" t="s">
        <v>69</v>
      </c>
      <c r="E156" s="45">
        <f>SUM(E147:E155)</f>
        <v>0</v>
      </c>
      <c r="F156" s="45">
        <f>SUM(F147:F155)</f>
        <v>0</v>
      </c>
      <c r="G156" s="45">
        <f>SUM(G147:G155)</f>
        <v>0</v>
      </c>
      <c r="H156" s="45">
        <f>SUM(H147:H155)</f>
        <v>0</v>
      </c>
      <c r="J156" s="45">
        <f>SUM(E156:H156)</f>
        <v>0</v>
      </c>
    </row>
    <row r="157" spans="3:10" x14ac:dyDescent="0.3">
      <c r="C157" s="209"/>
      <c r="D157" s="210"/>
      <c r="E157" s="42"/>
    </row>
    <row r="158" spans="3:10" x14ac:dyDescent="0.3">
      <c r="C158" s="51" t="s">
        <v>541</v>
      </c>
      <c r="D158" s="84"/>
      <c r="E158" s="91"/>
    </row>
    <row r="159" spans="3:10" x14ac:dyDescent="0.3">
      <c r="C159" s="20" t="s">
        <v>14</v>
      </c>
      <c r="D159" s="15" t="s">
        <v>542</v>
      </c>
      <c r="E159" s="42">
        <f t="shared" ref="E159:H167" si="35">E136*E39*E$36</f>
        <v>0</v>
      </c>
      <c r="F159" s="42">
        <f t="shared" si="35"/>
        <v>0</v>
      </c>
      <c r="G159" s="42">
        <f t="shared" si="35"/>
        <v>0</v>
      </c>
      <c r="H159" s="42">
        <f t="shared" si="35"/>
        <v>0</v>
      </c>
    </row>
    <row r="160" spans="3:10" x14ac:dyDescent="0.3">
      <c r="C160" s="14" t="s">
        <v>15</v>
      </c>
      <c r="D160" s="15" t="s">
        <v>542</v>
      </c>
      <c r="E160" s="42">
        <f t="shared" si="35"/>
        <v>0</v>
      </c>
      <c r="F160" s="42">
        <f t="shared" si="35"/>
        <v>0</v>
      </c>
      <c r="G160" s="42">
        <f t="shared" si="35"/>
        <v>0</v>
      </c>
      <c r="H160" s="42">
        <f t="shared" si="35"/>
        <v>0</v>
      </c>
    </row>
    <row r="161" spans="3:10" x14ac:dyDescent="0.3">
      <c r="C161" s="15" t="s">
        <v>16</v>
      </c>
      <c r="D161" s="15" t="s">
        <v>542</v>
      </c>
      <c r="E161" s="42">
        <f t="shared" si="35"/>
        <v>0</v>
      </c>
      <c r="F161" s="42">
        <f t="shared" si="35"/>
        <v>0</v>
      </c>
      <c r="G161" s="42">
        <f t="shared" si="35"/>
        <v>0</v>
      </c>
      <c r="H161" s="42">
        <f t="shared" si="35"/>
        <v>0</v>
      </c>
    </row>
    <row r="162" spans="3:10" x14ac:dyDescent="0.3">
      <c r="C162" s="15" t="s">
        <v>17</v>
      </c>
      <c r="D162" s="15" t="s">
        <v>542</v>
      </c>
      <c r="E162" s="42">
        <f t="shared" si="35"/>
        <v>0</v>
      </c>
      <c r="F162" s="42">
        <f t="shared" si="35"/>
        <v>0</v>
      </c>
      <c r="G162" s="42">
        <f t="shared" si="35"/>
        <v>0</v>
      </c>
      <c r="H162" s="42">
        <f t="shared" si="35"/>
        <v>0</v>
      </c>
    </row>
    <row r="163" spans="3:10" x14ac:dyDescent="0.3">
      <c r="C163" s="15" t="s">
        <v>18</v>
      </c>
      <c r="D163" s="15" t="s">
        <v>542</v>
      </c>
      <c r="E163" s="42">
        <f t="shared" si="35"/>
        <v>0</v>
      </c>
      <c r="F163" s="42">
        <f t="shared" si="35"/>
        <v>0</v>
      </c>
      <c r="G163" s="42">
        <f t="shared" si="35"/>
        <v>0</v>
      </c>
      <c r="H163" s="42">
        <f t="shared" si="35"/>
        <v>0</v>
      </c>
    </row>
    <row r="164" spans="3:10" x14ac:dyDescent="0.3">
      <c r="C164" s="15" t="s">
        <v>19</v>
      </c>
      <c r="D164" s="15" t="s">
        <v>542</v>
      </c>
      <c r="E164" s="42">
        <f t="shared" si="35"/>
        <v>0</v>
      </c>
      <c r="F164" s="42">
        <f t="shared" si="35"/>
        <v>0</v>
      </c>
      <c r="G164" s="42">
        <f t="shared" si="35"/>
        <v>0</v>
      </c>
      <c r="H164" s="42">
        <f t="shared" si="35"/>
        <v>0</v>
      </c>
    </row>
    <row r="165" spans="3:10" x14ac:dyDescent="0.3">
      <c r="C165" s="14" t="s">
        <v>20</v>
      </c>
      <c r="D165" s="15" t="s">
        <v>542</v>
      </c>
      <c r="E165" s="42">
        <f t="shared" si="35"/>
        <v>0</v>
      </c>
      <c r="F165" s="42">
        <f t="shared" si="35"/>
        <v>0</v>
      </c>
      <c r="G165" s="42">
        <f t="shared" si="35"/>
        <v>0</v>
      </c>
      <c r="H165" s="42">
        <f t="shared" si="35"/>
        <v>0</v>
      </c>
    </row>
    <row r="166" spans="3:10" x14ac:dyDescent="0.3">
      <c r="C166" s="14" t="s">
        <v>21</v>
      </c>
      <c r="D166" s="15" t="s">
        <v>542</v>
      </c>
      <c r="E166" s="42">
        <f t="shared" si="35"/>
        <v>0</v>
      </c>
      <c r="F166" s="42">
        <f t="shared" si="35"/>
        <v>0</v>
      </c>
      <c r="G166" s="42">
        <f t="shared" si="35"/>
        <v>0</v>
      </c>
      <c r="H166" s="42">
        <f t="shared" si="35"/>
        <v>0</v>
      </c>
    </row>
    <row r="167" spans="3:10" x14ac:dyDescent="0.3">
      <c r="C167" s="14" t="s">
        <v>22</v>
      </c>
      <c r="D167" s="15" t="s">
        <v>542</v>
      </c>
      <c r="E167" s="42">
        <f t="shared" si="35"/>
        <v>0</v>
      </c>
      <c r="F167" s="42">
        <f t="shared" si="35"/>
        <v>0</v>
      </c>
      <c r="G167" s="42">
        <f t="shared" si="35"/>
        <v>0</v>
      </c>
      <c r="H167" s="42">
        <f t="shared" si="35"/>
        <v>0</v>
      </c>
    </row>
    <row r="168" spans="3:10" x14ac:dyDescent="0.3">
      <c r="C168" s="102" t="s">
        <v>54</v>
      </c>
      <c r="D168" s="15" t="s">
        <v>542</v>
      </c>
      <c r="E168" s="45">
        <f>SUM(E159:E167)</f>
        <v>0</v>
      </c>
      <c r="F168" s="45">
        <f t="shared" ref="F168:H168" si="36">SUM(F159:F167)</f>
        <v>0</v>
      </c>
      <c r="G168" s="45">
        <f t="shared" si="36"/>
        <v>0</v>
      </c>
      <c r="H168" s="45">
        <f t="shared" si="36"/>
        <v>0</v>
      </c>
      <c r="J168" s="45">
        <f>SUM(E168:H168)</f>
        <v>0</v>
      </c>
    </row>
    <row r="169" spans="3:10" x14ac:dyDescent="0.3">
      <c r="C169" s="20"/>
      <c r="D169" s="15"/>
      <c r="E169" s="42"/>
    </row>
    <row r="170" spans="3:10" x14ac:dyDescent="0.3">
      <c r="C170" s="51" t="s">
        <v>543</v>
      </c>
      <c r="D170" s="207"/>
      <c r="E170" s="91"/>
    </row>
    <row r="171" spans="3:10" x14ac:dyDescent="0.3">
      <c r="C171" s="209" t="s">
        <v>14</v>
      </c>
      <c r="D171" s="210" t="s">
        <v>69</v>
      </c>
      <c r="E171" s="55" t="e">
        <f t="shared" ref="E171:H179" si="37">E136*E61*$J61</f>
        <v>#VALUE!</v>
      </c>
      <c r="F171" s="55" t="e">
        <f t="shared" si="37"/>
        <v>#VALUE!</v>
      </c>
      <c r="G171" s="55" t="e">
        <f t="shared" si="37"/>
        <v>#VALUE!</v>
      </c>
      <c r="H171" s="55" t="e">
        <f t="shared" si="37"/>
        <v>#VALUE!</v>
      </c>
    </row>
    <row r="172" spans="3:10" x14ac:dyDescent="0.3">
      <c r="C172" s="213" t="s">
        <v>15</v>
      </c>
      <c r="D172" s="210" t="s">
        <v>69</v>
      </c>
      <c r="E172" s="55" t="e">
        <f t="shared" si="37"/>
        <v>#VALUE!</v>
      </c>
      <c r="F172" s="55" t="e">
        <f t="shared" si="37"/>
        <v>#VALUE!</v>
      </c>
      <c r="G172" s="55" t="e">
        <f t="shared" si="37"/>
        <v>#VALUE!</v>
      </c>
      <c r="H172" s="55" t="e">
        <f t="shared" si="37"/>
        <v>#VALUE!</v>
      </c>
    </row>
    <row r="173" spans="3:10" x14ac:dyDescent="0.3">
      <c r="C173" s="210" t="s">
        <v>16</v>
      </c>
      <c r="D173" s="210" t="s">
        <v>69</v>
      </c>
      <c r="E173" s="55" t="e">
        <f t="shared" si="37"/>
        <v>#VALUE!</v>
      </c>
      <c r="F173" s="55" t="e">
        <f t="shared" si="37"/>
        <v>#VALUE!</v>
      </c>
      <c r="G173" s="55" t="e">
        <f t="shared" si="37"/>
        <v>#VALUE!</v>
      </c>
      <c r="H173" s="55" t="e">
        <f t="shared" si="37"/>
        <v>#VALUE!</v>
      </c>
    </row>
    <row r="174" spans="3:10" x14ac:dyDescent="0.3">
      <c r="C174" s="210" t="s">
        <v>17</v>
      </c>
      <c r="D174" s="210" t="s">
        <v>69</v>
      </c>
      <c r="E174" s="55" t="e">
        <f t="shared" si="37"/>
        <v>#VALUE!</v>
      </c>
      <c r="F174" s="55" t="e">
        <f t="shared" si="37"/>
        <v>#VALUE!</v>
      </c>
      <c r="G174" s="55" t="e">
        <f t="shared" si="37"/>
        <v>#VALUE!</v>
      </c>
      <c r="H174" s="55" t="e">
        <f t="shared" si="37"/>
        <v>#VALUE!</v>
      </c>
    </row>
    <row r="175" spans="3:10" x14ac:dyDescent="0.3">
      <c r="C175" s="210" t="s">
        <v>18</v>
      </c>
      <c r="D175" s="210" t="s">
        <v>69</v>
      </c>
      <c r="E175" s="55" t="e">
        <f t="shared" si="37"/>
        <v>#VALUE!</v>
      </c>
      <c r="F175" s="55" t="e">
        <f t="shared" si="37"/>
        <v>#VALUE!</v>
      </c>
      <c r="G175" s="55" t="e">
        <f t="shared" si="37"/>
        <v>#VALUE!</v>
      </c>
      <c r="H175" s="55" t="e">
        <f t="shared" si="37"/>
        <v>#VALUE!</v>
      </c>
    </row>
    <row r="176" spans="3:10" x14ac:dyDescent="0.3">
      <c r="C176" s="210" t="s">
        <v>19</v>
      </c>
      <c r="D176" s="210" t="s">
        <v>69</v>
      </c>
      <c r="E176" s="55" t="e">
        <f t="shared" si="37"/>
        <v>#VALUE!</v>
      </c>
      <c r="F176" s="55" t="e">
        <f t="shared" si="37"/>
        <v>#VALUE!</v>
      </c>
      <c r="G176" s="55" t="e">
        <f t="shared" si="37"/>
        <v>#VALUE!</v>
      </c>
      <c r="H176" s="55" t="e">
        <f t="shared" si="37"/>
        <v>#VALUE!</v>
      </c>
    </row>
    <row r="177" spans="3:10" x14ac:dyDescent="0.3">
      <c r="C177" s="213" t="s">
        <v>20</v>
      </c>
      <c r="D177" s="210" t="s">
        <v>69</v>
      </c>
      <c r="E177" s="55" t="e">
        <f t="shared" si="37"/>
        <v>#VALUE!</v>
      </c>
      <c r="F177" s="55" t="e">
        <f t="shared" si="37"/>
        <v>#VALUE!</v>
      </c>
      <c r="G177" s="55" t="e">
        <f t="shared" si="37"/>
        <v>#VALUE!</v>
      </c>
      <c r="H177" s="55" t="e">
        <f t="shared" si="37"/>
        <v>#VALUE!</v>
      </c>
    </row>
    <row r="178" spans="3:10" x14ac:dyDescent="0.3">
      <c r="C178" s="213" t="s">
        <v>21</v>
      </c>
      <c r="D178" s="210" t="s">
        <v>69</v>
      </c>
      <c r="E178" s="55" t="e">
        <f t="shared" si="37"/>
        <v>#VALUE!</v>
      </c>
      <c r="F178" s="55" t="e">
        <f t="shared" si="37"/>
        <v>#VALUE!</v>
      </c>
      <c r="G178" s="55" t="e">
        <f t="shared" si="37"/>
        <v>#VALUE!</v>
      </c>
      <c r="H178" s="55" t="e">
        <f t="shared" si="37"/>
        <v>#VALUE!</v>
      </c>
    </row>
    <row r="179" spans="3:10" x14ac:dyDescent="0.3">
      <c r="C179" s="213" t="s">
        <v>22</v>
      </c>
      <c r="D179" s="210" t="s">
        <v>69</v>
      </c>
      <c r="E179" s="55" t="e">
        <f t="shared" si="37"/>
        <v>#VALUE!</v>
      </c>
      <c r="F179" s="55" t="e">
        <f t="shared" si="37"/>
        <v>#VALUE!</v>
      </c>
      <c r="G179" s="55" t="e">
        <f t="shared" si="37"/>
        <v>#VALUE!</v>
      </c>
      <c r="H179" s="55" t="e">
        <f t="shared" si="37"/>
        <v>#VALUE!</v>
      </c>
    </row>
    <row r="180" spans="3:10" x14ac:dyDescent="0.3">
      <c r="C180" s="102" t="s">
        <v>54</v>
      </c>
      <c r="D180" s="210" t="s">
        <v>69</v>
      </c>
      <c r="E180" s="45" t="e">
        <f>SUM(E171:E179)</f>
        <v>#VALUE!</v>
      </c>
      <c r="F180" s="45" t="e">
        <f t="shared" ref="F180:H180" si="38">SUM(F171:F179)</f>
        <v>#VALUE!</v>
      </c>
      <c r="G180" s="45" t="e">
        <f t="shared" si="38"/>
        <v>#VALUE!</v>
      </c>
      <c r="H180" s="45" t="e">
        <f t="shared" si="38"/>
        <v>#VALUE!</v>
      </c>
      <c r="J180" s="45" t="e">
        <f>SUM(E180:H180)</f>
        <v>#VALUE!</v>
      </c>
    </row>
    <row r="181" spans="3:10" x14ac:dyDescent="0.3">
      <c r="C181" s="36"/>
    </row>
    <row r="182" spans="3:10" x14ac:dyDescent="0.3">
      <c r="C182" s="51" t="s">
        <v>522</v>
      </c>
      <c r="D182" s="84"/>
      <c r="E182" s="91"/>
    </row>
    <row r="183" spans="3:10" x14ac:dyDescent="0.3">
      <c r="C183" s="20" t="s">
        <v>14</v>
      </c>
      <c r="D183" s="84" t="s">
        <v>527</v>
      </c>
      <c r="E183" s="42" t="e">
        <f t="shared" ref="E183:H191" si="39">E136*E98</f>
        <v>#VALUE!</v>
      </c>
      <c r="F183" s="42" t="e">
        <f t="shared" si="39"/>
        <v>#VALUE!</v>
      </c>
      <c r="G183" s="42" t="e">
        <f t="shared" si="39"/>
        <v>#VALUE!</v>
      </c>
      <c r="H183" s="42" t="e">
        <f t="shared" si="39"/>
        <v>#VALUE!</v>
      </c>
    </row>
    <row r="184" spans="3:10" x14ac:dyDescent="0.3">
      <c r="C184" s="14" t="s">
        <v>15</v>
      </c>
      <c r="D184" s="84" t="s">
        <v>527</v>
      </c>
      <c r="E184" s="42">
        <f t="shared" si="39"/>
        <v>0</v>
      </c>
      <c r="F184" s="42">
        <f t="shared" si="39"/>
        <v>0</v>
      </c>
      <c r="G184" s="42">
        <f t="shared" si="39"/>
        <v>0</v>
      </c>
      <c r="H184" s="42">
        <f t="shared" si="39"/>
        <v>0</v>
      </c>
    </row>
    <row r="185" spans="3:10" x14ac:dyDescent="0.3">
      <c r="C185" s="15" t="s">
        <v>16</v>
      </c>
      <c r="D185" s="84" t="s">
        <v>527</v>
      </c>
      <c r="E185" s="42">
        <f t="shared" si="39"/>
        <v>0</v>
      </c>
      <c r="F185" s="42">
        <f t="shared" si="39"/>
        <v>0</v>
      </c>
      <c r="G185" s="42">
        <f t="shared" si="39"/>
        <v>0</v>
      </c>
      <c r="H185" s="42">
        <f t="shared" si="39"/>
        <v>0</v>
      </c>
    </row>
    <row r="186" spans="3:10" x14ac:dyDescent="0.3">
      <c r="C186" s="15" t="s">
        <v>17</v>
      </c>
      <c r="D186" s="84" t="s">
        <v>527</v>
      </c>
      <c r="E186" s="42">
        <f t="shared" si="39"/>
        <v>0</v>
      </c>
      <c r="F186" s="42">
        <f t="shared" si="39"/>
        <v>0</v>
      </c>
      <c r="G186" s="42">
        <f t="shared" si="39"/>
        <v>0</v>
      </c>
      <c r="H186" s="42">
        <f t="shared" si="39"/>
        <v>0</v>
      </c>
    </row>
    <row r="187" spans="3:10" x14ac:dyDescent="0.3">
      <c r="C187" s="15" t="s">
        <v>18</v>
      </c>
      <c r="D187" s="84" t="s">
        <v>527</v>
      </c>
      <c r="E187" s="42">
        <f t="shared" si="39"/>
        <v>0</v>
      </c>
      <c r="F187" s="42">
        <f t="shared" si="39"/>
        <v>0</v>
      </c>
      <c r="G187" s="42">
        <f t="shared" si="39"/>
        <v>0</v>
      </c>
      <c r="H187" s="42">
        <f t="shared" si="39"/>
        <v>0</v>
      </c>
    </row>
    <row r="188" spans="3:10" x14ac:dyDescent="0.3">
      <c r="C188" s="15" t="s">
        <v>19</v>
      </c>
      <c r="D188" s="84" t="s">
        <v>527</v>
      </c>
      <c r="E188" s="42">
        <f t="shared" si="39"/>
        <v>0</v>
      </c>
      <c r="F188" s="42">
        <f t="shared" si="39"/>
        <v>0</v>
      </c>
      <c r="G188" s="42">
        <f t="shared" si="39"/>
        <v>0</v>
      </c>
      <c r="H188" s="42">
        <f t="shared" si="39"/>
        <v>0</v>
      </c>
    </row>
    <row r="189" spans="3:10" x14ac:dyDescent="0.3">
      <c r="C189" s="14" t="s">
        <v>20</v>
      </c>
      <c r="D189" s="84" t="s">
        <v>527</v>
      </c>
      <c r="E189" s="42">
        <f t="shared" si="39"/>
        <v>0</v>
      </c>
      <c r="F189" s="42">
        <f t="shared" si="39"/>
        <v>0</v>
      </c>
      <c r="G189" s="42">
        <f t="shared" si="39"/>
        <v>0</v>
      </c>
      <c r="H189" s="42">
        <f t="shared" si="39"/>
        <v>0</v>
      </c>
    </row>
    <row r="190" spans="3:10" x14ac:dyDescent="0.3">
      <c r="C190" s="14" t="s">
        <v>21</v>
      </c>
      <c r="D190" s="84" t="s">
        <v>527</v>
      </c>
      <c r="E190" s="42" t="e">
        <f t="shared" si="39"/>
        <v>#N/A</v>
      </c>
      <c r="F190" s="42" t="e">
        <f t="shared" si="39"/>
        <v>#N/A</v>
      </c>
      <c r="G190" s="42" t="e">
        <f t="shared" si="39"/>
        <v>#N/A</v>
      </c>
      <c r="H190" s="42" t="e">
        <f t="shared" si="39"/>
        <v>#N/A</v>
      </c>
    </row>
    <row r="191" spans="3:10" x14ac:dyDescent="0.3">
      <c r="C191" s="14" t="s">
        <v>22</v>
      </c>
      <c r="D191" s="84" t="s">
        <v>527</v>
      </c>
      <c r="E191" s="42" t="e">
        <f t="shared" si="39"/>
        <v>#N/A</v>
      </c>
      <c r="F191" s="42" t="e">
        <f t="shared" si="39"/>
        <v>#N/A</v>
      </c>
      <c r="G191" s="42" t="e">
        <f t="shared" si="39"/>
        <v>#N/A</v>
      </c>
      <c r="H191" s="42" t="e">
        <f t="shared" si="39"/>
        <v>#N/A</v>
      </c>
    </row>
    <row r="192" spans="3:10" x14ac:dyDescent="0.3">
      <c r="C192" s="102" t="s">
        <v>54</v>
      </c>
      <c r="D192" s="133" t="s">
        <v>527</v>
      </c>
      <c r="E192" s="45" t="e">
        <f>SUM(E183:E191)</f>
        <v>#VALUE!</v>
      </c>
      <c r="F192" s="45" t="e">
        <f t="shared" ref="F192:H192" si="40">SUM(F183:F191)</f>
        <v>#VALUE!</v>
      </c>
      <c r="G192" s="45" t="e">
        <f t="shared" si="40"/>
        <v>#VALUE!</v>
      </c>
      <c r="H192" s="45" t="e">
        <f t="shared" si="40"/>
        <v>#VALUE!</v>
      </c>
      <c r="J192" s="45" t="e">
        <f>SUM(E192:H192)</f>
        <v>#VALUE!</v>
      </c>
    </row>
    <row r="193" spans="3:10" x14ac:dyDescent="0.3">
      <c r="C193" s="20"/>
      <c r="E193" s="42"/>
    </row>
    <row r="194" spans="3:10" x14ac:dyDescent="0.3">
      <c r="C194" s="51" t="s">
        <v>544</v>
      </c>
      <c r="D194" s="207"/>
      <c r="E194" s="208"/>
    </row>
    <row r="195" spans="3:10" x14ac:dyDescent="0.3">
      <c r="C195" s="209" t="s">
        <v>14</v>
      </c>
      <c r="D195" s="207" t="s">
        <v>605</v>
      </c>
      <c r="E195" s="97" t="e">
        <f>E183*E$36</f>
        <v>#VALUE!</v>
      </c>
      <c r="F195" s="97" t="e">
        <f t="shared" ref="F195:H195" si="41">F183*F$36</f>
        <v>#VALUE!</v>
      </c>
      <c r="G195" s="97" t="e">
        <f t="shared" si="41"/>
        <v>#VALUE!</v>
      </c>
      <c r="H195" s="97" t="e">
        <f t="shared" si="41"/>
        <v>#VALUE!</v>
      </c>
    </row>
    <row r="196" spans="3:10" x14ac:dyDescent="0.3">
      <c r="C196" s="213" t="s">
        <v>15</v>
      </c>
      <c r="D196" s="207" t="s">
        <v>605</v>
      </c>
      <c r="E196" s="97">
        <f t="shared" ref="E196:H203" si="42">E184*E$36</f>
        <v>0</v>
      </c>
      <c r="F196" s="97">
        <f t="shared" si="42"/>
        <v>0</v>
      </c>
      <c r="G196" s="97">
        <f t="shared" si="42"/>
        <v>0</v>
      </c>
      <c r="H196" s="97">
        <f t="shared" si="42"/>
        <v>0</v>
      </c>
    </row>
    <row r="197" spans="3:10" x14ac:dyDescent="0.3">
      <c r="C197" s="210" t="s">
        <v>16</v>
      </c>
      <c r="D197" s="207" t="s">
        <v>605</v>
      </c>
      <c r="E197" s="97">
        <f t="shared" si="42"/>
        <v>0</v>
      </c>
      <c r="F197" s="97">
        <f t="shared" si="42"/>
        <v>0</v>
      </c>
      <c r="G197" s="97">
        <f t="shared" si="42"/>
        <v>0</v>
      </c>
      <c r="H197" s="97">
        <f t="shared" si="42"/>
        <v>0</v>
      </c>
    </row>
    <row r="198" spans="3:10" x14ac:dyDescent="0.3">
      <c r="C198" s="210" t="s">
        <v>17</v>
      </c>
      <c r="D198" s="207" t="s">
        <v>605</v>
      </c>
      <c r="E198" s="97">
        <f t="shared" si="42"/>
        <v>0</v>
      </c>
      <c r="F198" s="97">
        <f t="shared" si="42"/>
        <v>0</v>
      </c>
      <c r="G198" s="97">
        <f t="shared" si="42"/>
        <v>0</v>
      </c>
      <c r="H198" s="97">
        <f t="shared" si="42"/>
        <v>0</v>
      </c>
    </row>
    <row r="199" spans="3:10" x14ac:dyDescent="0.3">
      <c r="C199" s="210" t="s">
        <v>18</v>
      </c>
      <c r="D199" s="207" t="s">
        <v>605</v>
      </c>
      <c r="E199" s="97">
        <f t="shared" si="42"/>
        <v>0</v>
      </c>
      <c r="F199" s="97">
        <f t="shared" si="42"/>
        <v>0</v>
      </c>
      <c r="G199" s="97">
        <f t="shared" si="42"/>
        <v>0</v>
      </c>
      <c r="H199" s="97">
        <f t="shared" si="42"/>
        <v>0</v>
      </c>
    </row>
    <row r="200" spans="3:10" x14ac:dyDescent="0.3">
      <c r="C200" s="210" t="s">
        <v>19</v>
      </c>
      <c r="D200" s="207" t="s">
        <v>605</v>
      </c>
      <c r="E200" s="97">
        <f t="shared" si="42"/>
        <v>0</v>
      </c>
      <c r="F200" s="97">
        <f t="shared" si="42"/>
        <v>0</v>
      </c>
      <c r="G200" s="97">
        <f t="shared" si="42"/>
        <v>0</v>
      </c>
      <c r="H200" s="97">
        <f t="shared" si="42"/>
        <v>0</v>
      </c>
    </row>
    <row r="201" spans="3:10" x14ac:dyDescent="0.3">
      <c r="C201" s="213" t="s">
        <v>20</v>
      </c>
      <c r="D201" s="207" t="s">
        <v>605</v>
      </c>
      <c r="E201" s="97">
        <f t="shared" si="42"/>
        <v>0</v>
      </c>
      <c r="F201" s="97">
        <f t="shared" si="42"/>
        <v>0</v>
      </c>
      <c r="G201" s="97">
        <f t="shared" si="42"/>
        <v>0</v>
      </c>
      <c r="H201" s="97">
        <f t="shared" si="42"/>
        <v>0</v>
      </c>
    </row>
    <row r="202" spans="3:10" x14ac:dyDescent="0.3">
      <c r="C202" s="213" t="s">
        <v>21</v>
      </c>
      <c r="D202" s="207" t="s">
        <v>605</v>
      </c>
      <c r="E202" s="97" t="e">
        <f>E190*E$36</f>
        <v>#N/A</v>
      </c>
      <c r="F202" s="97" t="e">
        <f t="shared" ref="F202:H202" si="43">F190*F$36</f>
        <v>#N/A</v>
      </c>
      <c r="G202" s="97" t="e">
        <f t="shared" si="43"/>
        <v>#N/A</v>
      </c>
      <c r="H202" s="97" t="e">
        <f t="shared" si="43"/>
        <v>#N/A</v>
      </c>
    </row>
    <row r="203" spans="3:10" x14ac:dyDescent="0.3">
      <c r="C203" s="213" t="s">
        <v>22</v>
      </c>
      <c r="D203" s="207" t="s">
        <v>605</v>
      </c>
      <c r="E203" s="97" t="e">
        <f t="shared" si="42"/>
        <v>#N/A</v>
      </c>
      <c r="F203" s="97" t="e">
        <f t="shared" si="42"/>
        <v>#N/A</v>
      </c>
      <c r="G203" s="97" t="e">
        <f t="shared" si="42"/>
        <v>#N/A</v>
      </c>
      <c r="H203" s="97" t="e">
        <f t="shared" si="42"/>
        <v>#N/A</v>
      </c>
    </row>
    <row r="204" spans="3:10" x14ac:dyDescent="0.3">
      <c r="C204" s="216" t="s">
        <v>54</v>
      </c>
      <c r="D204" s="218" t="s">
        <v>605</v>
      </c>
      <c r="E204" s="217" t="e">
        <f>SUM(E195:E203)</f>
        <v>#VALUE!</v>
      </c>
      <c r="F204" s="217" t="e">
        <f>SUM(F195:F203)</f>
        <v>#VALUE!</v>
      </c>
      <c r="G204" s="217" t="e">
        <f>SUM(G195:G203)</f>
        <v>#VALUE!</v>
      </c>
      <c r="H204" s="217" t="e">
        <f>SUM(H195:H203)</f>
        <v>#VALUE!</v>
      </c>
      <c r="J204" s="217" t="e">
        <f>SUM(E204:H204)</f>
        <v>#VALUE!</v>
      </c>
    </row>
    <row r="205" spans="3:10" x14ac:dyDescent="0.3">
      <c r="C205" s="209"/>
      <c r="E205" s="42"/>
    </row>
    <row r="206" spans="3:10" x14ac:dyDescent="0.3">
      <c r="C206" s="51" t="s">
        <v>313</v>
      </c>
      <c r="E206" s="91"/>
    </row>
    <row r="207" spans="3:10" x14ac:dyDescent="0.3">
      <c r="C207" s="20" t="s">
        <v>14</v>
      </c>
      <c r="D207" s="84" t="s">
        <v>272</v>
      </c>
      <c r="E207" s="42" t="e">
        <f t="shared" ref="E207:H215" si="44">E136*E109</f>
        <v>#VALUE!</v>
      </c>
      <c r="F207" s="42" t="e">
        <f t="shared" si="44"/>
        <v>#VALUE!</v>
      </c>
      <c r="G207" s="42" t="e">
        <f t="shared" si="44"/>
        <v>#VALUE!</v>
      </c>
      <c r="H207" s="42" t="e">
        <f t="shared" si="44"/>
        <v>#VALUE!</v>
      </c>
    </row>
    <row r="208" spans="3:10" x14ac:dyDescent="0.3">
      <c r="C208" s="14" t="s">
        <v>15</v>
      </c>
      <c r="D208" s="15" t="s">
        <v>272</v>
      </c>
      <c r="E208" s="42">
        <f t="shared" si="44"/>
        <v>0</v>
      </c>
      <c r="F208" s="42">
        <f t="shared" si="44"/>
        <v>0</v>
      </c>
      <c r="G208" s="42">
        <f t="shared" si="44"/>
        <v>0</v>
      </c>
      <c r="H208" s="42">
        <f t="shared" si="44"/>
        <v>0</v>
      </c>
    </row>
    <row r="209" spans="3:10" x14ac:dyDescent="0.3">
      <c r="C209" s="15" t="s">
        <v>16</v>
      </c>
      <c r="D209" s="15" t="s">
        <v>272</v>
      </c>
      <c r="E209" s="42">
        <f t="shared" si="44"/>
        <v>0</v>
      </c>
      <c r="F209" s="42">
        <f t="shared" si="44"/>
        <v>0</v>
      </c>
      <c r="G209" s="42">
        <f t="shared" si="44"/>
        <v>0</v>
      </c>
      <c r="H209" s="42">
        <f t="shared" si="44"/>
        <v>0</v>
      </c>
    </row>
    <row r="210" spans="3:10" x14ac:dyDescent="0.3">
      <c r="C210" s="15" t="s">
        <v>17</v>
      </c>
      <c r="D210" s="15" t="s">
        <v>272</v>
      </c>
      <c r="E210" s="42">
        <f t="shared" si="44"/>
        <v>0</v>
      </c>
      <c r="F210" s="42">
        <f t="shared" si="44"/>
        <v>0</v>
      </c>
      <c r="G210" s="42">
        <f t="shared" si="44"/>
        <v>0</v>
      </c>
      <c r="H210" s="42">
        <f t="shared" si="44"/>
        <v>0</v>
      </c>
    </row>
    <row r="211" spans="3:10" x14ac:dyDescent="0.3">
      <c r="C211" s="15" t="s">
        <v>18</v>
      </c>
      <c r="D211" s="15" t="s">
        <v>272</v>
      </c>
      <c r="E211" s="42">
        <f t="shared" si="44"/>
        <v>0</v>
      </c>
      <c r="F211" s="42">
        <f t="shared" si="44"/>
        <v>0</v>
      </c>
      <c r="G211" s="42">
        <f t="shared" si="44"/>
        <v>0</v>
      </c>
      <c r="H211" s="42">
        <f t="shared" si="44"/>
        <v>0</v>
      </c>
    </row>
    <row r="212" spans="3:10" x14ac:dyDescent="0.3">
      <c r="C212" s="15" t="s">
        <v>19</v>
      </c>
      <c r="D212" s="15" t="s">
        <v>272</v>
      </c>
      <c r="E212" s="42">
        <f t="shared" si="44"/>
        <v>0</v>
      </c>
      <c r="F212" s="42">
        <f t="shared" si="44"/>
        <v>0</v>
      </c>
      <c r="G212" s="42">
        <f t="shared" si="44"/>
        <v>0</v>
      </c>
      <c r="H212" s="42">
        <f t="shared" si="44"/>
        <v>0</v>
      </c>
    </row>
    <row r="213" spans="3:10" x14ac:dyDescent="0.3">
      <c r="C213" s="14" t="s">
        <v>20</v>
      </c>
      <c r="D213" s="15" t="s">
        <v>272</v>
      </c>
      <c r="E213" s="42">
        <f t="shared" si="44"/>
        <v>0</v>
      </c>
      <c r="F213" s="42">
        <f t="shared" si="44"/>
        <v>0</v>
      </c>
      <c r="G213" s="42">
        <f t="shared" si="44"/>
        <v>0</v>
      </c>
      <c r="H213" s="42">
        <f t="shared" si="44"/>
        <v>0</v>
      </c>
    </row>
    <row r="214" spans="3:10" x14ac:dyDescent="0.3">
      <c r="C214" s="14" t="s">
        <v>21</v>
      </c>
      <c r="D214" s="15" t="s">
        <v>272</v>
      </c>
      <c r="E214" s="42" t="e">
        <f t="shared" si="44"/>
        <v>#N/A</v>
      </c>
      <c r="F214" s="42" t="e">
        <f t="shared" si="44"/>
        <v>#N/A</v>
      </c>
      <c r="G214" s="42" t="e">
        <f t="shared" si="44"/>
        <v>#N/A</v>
      </c>
      <c r="H214" s="42" t="e">
        <f t="shared" si="44"/>
        <v>#N/A</v>
      </c>
    </row>
    <row r="215" spans="3:10" x14ac:dyDescent="0.3">
      <c r="C215" s="14" t="s">
        <v>22</v>
      </c>
      <c r="D215" s="15" t="s">
        <v>272</v>
      </c>
      <c r="E215" s="42" t="e">
        <f t="shared" si="44"/>
        <v>#N/A</v>
      </c>
      <c r="F215" s="42" t="e">
        <f t="shared" si="44"/>
        <v>#N/A</v>
      </c>
      <c r="G215" s="42" t="e">
        <f t="shared" si="44"/>
        <v>#N/A</v>
      </c>
      <c r="H215" s="42" t="e">
        <f t="shared" si="44"/>
        <v>#N/A</v>
      </c>
    </row>
    <row r="216" spans="3:10" x14ac:dyDescent="0.3">
      <c r="C216" s="102" t="s">
        <v>54</v>
      </c>
      <c r="D216" s="84" t="s">
        <v>272</v>
      </c>
      <c r="E216" s="45" t="e">
        <f>SUM(E207:E215)</f>
        <v>#VALUE!</v>
      </c>
      <c r="F216" s="45" t="e">
        <f t="shared" ref="F216:H216" si="45">SUM(F207:F215)</f>
        <v>#VALUE!</v>
      </c>
      <c r="G216" s="45" t="e">
        <f t="shared" si="45"/>
        <v>#VALUE!</v>
      </c>
      <c r="H216" s="45" t="e">
        <f t="shared" si="45"/>
        <v>#VALUE!</v>
      </c>
      <c r="J216" s="45" t="e">
        <f>SUM(E216:H216)</f>
        <v>#VALUE!</v>
      </c>
    </row>
    <row r="218" spans="3:10" x14ac:dyDescent="0.3">
      <c r="C218" s="51" t="s">
        <v>546</v>
      </c>
      <c r="E218" s="208"/>
    </row>
    <row r="219" spans="3:10" x14ac:dyDescent="0.3">
      <c r="C219" s="209" t="s">
        <v>14</v>
      </c>
      <c r="D219" s="207" t="s">
        <v>69</v>
      </c>
      <c r="E219" s="42" t="e">
        <f>E207*E$36</f>
        <v>#VALUE!</v>
      </c>
      <c r="F219" s="42" t="e">
        <f t="shared" ref="F219:H219" si="46">F207*F$36</f>
        <v>#VALUE!</v>
      </c>
      <c r="G219" s="42" t="e">
        <f t="shared" si="46"/>
        <v>#VALUE!</v>
      </c>
      <c r="H219" s="42" t="e">
        <f t="shared" si="46"/>
        <v>#VALUE!</v>
      </c>
    </row>
    <row r="220" spans="3:10" x14ac:dyDescent="0.3">
      <c r="C220" s="213" t="s">
        <v>15</v>
      </c>
      <c r="D220" s="207" t="s">
        <v>69</v>
      </c>
      <c r="E220" s="42">
        <f t="shared" ref="E220:H227" si="47">E208*E$36</f>
        <v>0</v>
      </c>
      <c r="F220" s="42">
        <f t="shared" si="47"/>
        <v>0</v>
      </c>
      <c r="G220" s="42">
        <f t="shared" si="47"/>
        <v>0</v>
      </c>
      <c r="H220" s="42">
        <f t="shared" si="47"/>
        <v>0</v>
      </c>
    </row>
    <row r="221" spans="3:10" x14ac:dyDescent="0.3">
      <c r="C221" s="210" t="s">
        <v>16</v>
      </c>
      <c r="D221" s="207" t="s">
        <v>69</v>
      </c>
      <c r="E221" s="42">
        <f t="shared" si="47"/>
        <v>0</v>
      </c>
      <c r="F221" s="42">
        <f t="shared" si="47"/>
        <v>0</v>
      </c>
      <c r="G221" s="42">
        <f t="shared" si="47"/>
        <v>0</v>
      </c>
      <c r="H221" s="42">
        <f t="shared" si="47"/>
        <v>0</v>
      </c>
    </row>
    <row r="222" spans="3:10" x14ac:dyDescent="0.3">
      <c r="C222" s="210" t="s">
        <v>17</v>
      </c>
      <c r="D222" s="207" t="s">
        <v>69</v>
      </c>
      <c r="E222" s="42">
        <f t="shared" si="47"/>
        <v>0</v>
      </c>
      <c r="F222" s="42">
        <f t="shared" si="47"/>
        <v>0</v>
      </c>
      <c r="G222" s="42">
        <f t="shared" si="47"/>
        <v>0</v>
      </c>
      <c r="H222" s="42">
        <f t="shared" si="47"/>
        <v>0</v>
      </c>
    </row>
    <row r="223" spans="3:10" x14ac:dyDescent="0.3">
      <c r="C223" s="210" t="s">
        <v>18</v>
      </c>
      <c r="D223" s="207" t="s">
        <v>69</v>
      </c>
      <c r="E223" s="42">
        <f t="shared" si="47"/>
        <v>0</v>
      </c>
      <c r="F223" s="42">
        <f t="shared" si="47"/>
        <v>0</v>
      </c>
      <c r="G223" s="42">
        <f t="shared" si="47"/>
        <v>0</v>
      </c>
      <c r="H223" s="42">
        <f t="shared" si="47"/>
        <v>0</v>
      </c>
    </row>
    <row r="224" spans="3:10" x14ac:dyDescent="0.3">
      <c r="C224" s="210" t="s">
        <v>19</v>
      </c>
      <c r="D224" s="207" t="s">
        <v>69</v>
      </c>
      <c r="E224" s="42">
        <f t="shared" si="47"/>
        <v>0</v>
      </c>
      <c r="F224" s="42">
        <f t="shared" si="47"/>
        <v>0</v>
      </c>
      <c r="G224" s="42">
        <f t="shared" si="47"/>
        <v>0</v>
      </c>
      <c r="H224" s="42">
        <f t="shared" si="47"/>
        <v>0</v>
      </c>
    </row>
    <row r="225" spans="3:10" x14ac:dyDescent="0.3">
      <c r="C225" s="213" t="s">
        <v>20</v>
      </c>
      <c r="D225" s="207" t="s">
        <v>69</v>
      </c>
      <c r="E225" s="42">
        <f t="shared" si="47"/>
        <v>0</v>
      </c>
      <c r="F225" s="42">
        <f t="shared" si="47"/>
        <v>0</v>
      </c>
      <c r="G225" s="42">
        <f t="shared" si="47"/>
        <v>0</v>
      </c>
      <c r="H225" s="42">
        <f t="shared" si="47"/>
        <v>0</v>
      </c>
    </row>
    <row r="226" spans="3:10" x14ac:dyDescent="0.3">
      <c r="C226" s="213" t="s">
        <v>21</v>
      </c>
      <c r="D226" s="207" t="s">
        <v>69</v>
      </c>
      <c r="E226" s="42" t="e">
        <f t="shared" si="47"/>
        <v>#N/A</v>
      </c>
      <c r="F226" s="42" t="e">
        <f t="shared" si="47"/>
        <v>#N/A</v>
      </c>
      <c r="G226" s="42" t="e">
        <f t="shared" si="47"/>
        <v>#N/A</v>
      </c>
      <c r="H226" s="42" t="e">
        <f t="shared" si="47"/>
        <v>#N/A</v>
      </c>
    </row>
    <row r="227" spans="3:10" x14ac:dyDescent="0.3">
      <c r="C227" s="213" t="s">
        <v>22</v>
      </c>
      <c r="D227" s="207" t="s">
        <v>69</v>
      </c>
      <c r="E227" s="42" t="e">
        <f t="shared" si="47"/>
        <v>#N/A</v>
      </c>
      <c r="F227" s="42" t="e">
        <f t="shared" si="47"/>
        <v>#N/A</v>
      </c>
      <c r="G227" s="42" t="e">
        <f t="shared" si="47"/>
        <v>#N/A</v>
      </c>
      <c r="H227" s="42" t="e">
        <f t="shared" si="47"/>
        <v>#N/A</v>
      </c>
    </row>
    <row r="228" spans="3:10" x14ac:dyDescent="0.3">
      <c r="C228" s="216" t="s">
        <v>54</v>
      </c>
      <c r="D228" s="207" t="s">
        <v>69</v>
      </c>
      <c r="E228" s="45" t="e">
        <f>SUM(E219:E227)</f>
        <v>#VALUE!</v>
      </c>
      <c r="F228" s="45" t="e">
        <f>SUM(F219:F227)</f>
        <v>#VALUE!</v>
      </c>
      <c r="G228" s="45" t="e">
        <f>SUM(G219:G227)</f>
        <v>#VALUE!</v>
      </c>
      <c r="H228" s="45" t="e">
        <f>SUM(H219:H227)</f>
        <v>#VALUE!</v>
      </c>
      <c r="J228" s="45" t="e">
        <f>SUM(E228:H228)</f>
        <v>#VALUE!</v>
      </c>
    </row>
    <row r="230" spans="3:10" x14ac:dyDescent="0.3">
      <c r="C230" s="51" t="s">
        <v>547</v>
      </c>
    </row>
    <row r="231" spans="3:10" x14ac:dyDescent="0.3">
      <c r="C231" s="209" t="s">
        <v>14</v>
      </c>
      <c r="D231" s="207" t="s">
        <v>548</v>
      </c>
      <c r="E231" s="160" t="e">
        <f>E136*(M98+U98+AC98+AK98)</f>
        <v>#DIV/0!</v>
      </c>
      <c r="F231" s="160" t="e">
        <f t="shared" ref="F231:H239" si="48">F136*(N98+V98+AD98+AL98)</f>
        <v>#DIV/0!</v>
      </c>
      <c r="G231" s="160" t="e">
        <f t="shared" si="48"/>
        <v>#DIV/0!</v>
      </c>
      <c r="H231" s="160" t="e">
        <f t="shared" si="48"/>
        <v>#DIV/0!</v>
      </c>
    </row>
    <row r="232" spans="3:10" x14ac:dyDescent="0.3">
      <c r="C232" s="213" t="s">
        <v>15</v>
      </c>
      <c r="D232" s="207" t="s">
        <v>548</v>
      </c>
      <c r="E232" s="130">
        <f t="shared" ref="E232:E239" si="49">E137*(M99+U99+AC99+AK99)</f>
        <v>0</v>
      </c>
      <c r="F232" s="130">
        <f t="shared" si="48"/>
        <v>0</v>
      </c>
      <c r="G232" s="130">
        <f t="shared" si="48"/>
        <v>0</v>
      </c>
      <c r="H232" s="130">
        <f t="shared" si="48"/>
        <v>0</v>
      </c>
    </row>
    <row r="233" spans="3:10" x14ac:dyDescent="0.3">
      <c r="C233" s="210" t="s">
        <v>16</v>
      </c>
      <c r="D233" s="207" t="s">
        <v>548</v>
      </c>
      <c r="E233" s="130">
        <f t="shared" si="49"/>
        <v>0</v>
      </c>
      <c r="F233" s="130">
        <f t="shared" si="48"/>
        <v>0</v>
      </c>
      <c r="G233" s="130">
        <f t="shared" si="48"/>
        <v>0</v>
      </c>
      <c r="H233" s="130">
        <f t="shared" si="48"/>
        <v>0</v>
      </c>
    </row>
    <row r="234" spans="3:10" x14ac:dyDescent="0.3">
      <c r="C234" s="210" t="s">
        <v>17</v>
      </c>
      <c r="D234" s="207" t="s">
        <v>548</v>
      </c>
      <c r="E234" s="130">
        <f t="shared" si="49"/>
        <v>0</v>
      </c>
      <c r="F234" s="130">
        <f t="shared" si="48"/>
        <v>0</v>
      </c>
      <c r="G234" s="130">
        <f t="shared" si="48"/>
        <v>0</v>
      </c>
      <c r="H234" s="130">
        <f t="shared" si="48"/>
        <v>0</v>
      </c>
    </row>
    <row r="235" spans="3:10" x14ac:dyDescent="0.3">
      <c r="C235" s="210" t="s">
        <v>18</v>
      </c>
      <c r="D235" s="207" t="s">
        <v>548</v>
      </c>
      <c r="E235" s="130">
        <f t="shared" si="49"/>
        <v>0</v>
      </c>
      <c r="F235" s="130">
        <f t="shared" si="48"/>
        <v>0</v>
      </c>
      <c r="G235" s="130">
        <f t="shared" si="48"/>
        <v>0</v>
      </c>
      <c r="H235" s="130">
        <f t="shared" si="48"/>
        <v>0</v>
      </c>
    </row>
    <row r="236" spans="3:10" x14ac:dyDescent="0.3">
      <c r="C236" s="210" t="s">
        <v>19</v>
      </c>
      <c r="D236" s="207" t="s">
        <v>548</v>
      </c>
      <c r="E236" s="130">
        <f t="shared" si="49"/>
        <v>0</v>
      </c>
      <c r="F236" s="130">
        <f t="shared" si="48"/>
        <v>0</v>
      </c>
      <c r="G236" s="130">
        <f t="shared" si="48"/>
        <v>0</v>
      </c>
      <c r="H236" s="130">
        <f t="shared" si="48"/>
        <v>0</v>
      </c>
    </row>
    <row r="237" spans="3:10" x14ac:dyDescent="0.3">
      <c r="C237" s="213" t="s">
        <v>20</v>
      </c>
      <c r="D237" s="207" t="s">
        <v>548</v>
      </c>
      <c r="E237" s="130">
        <f t="shared" si="49"/>
        <v>0</v>
      </c>
      <c r="F237" s="130">
        <f t="shared" si="48"/>
        <v>0</v>
      </c>
      <c r="G237" s="130">
        <f t="shared" si="48"/>
        <v>0</v>
      </c>
      <c r="H237" s="130">
        <f t="shared" si="48"/>
        <v>0</v>
      </c>
    </row>
    <row r="238" spans="3:10" x14ac:dyDescent="0.3">
      <c r="C238" s="213" t="s">
        <v>21</v>
      </c>
      <c r="D238" s="207" t="s">
        <v>548</v>
      </c>
      <c r="E238" s="160" t="e">
        <f t="shared" si="49"/>
        <v>#DIV/0!</v>
      </c>
      <c r="F238" s="160" t="e">
        <f t="shared" si="48"/>
        <v>#DIV/0!</v>
      </c>
      <c r="G238" s="160" t="e">
        <f t="shared" si="48"/>
        <v>#DIV/0!</v>
      </c>
      <c r="H238" s="160" t="e">
        <f t="shared" si="48"/>
        <v>#DIV/0!</v>
      </c>
    </row>
    <row r="239" spans="3:10" x14ac:dyDescent="0.3">
      <c r="C239" s="213" t="s">
        <v>22</v>
      </c>
      <c r="D239" s="207" t="s">
        <v>548</v>
      </c>
      <c r="E239" s="160" t="e">
        <f t="shared" si="49"/>
        <v>#DIV/0!</v>
      </c>
      <c r="F239" s="160" t="e">
        <f t="shared" si="48"/>
        <v>#DIV/0!</v>
      </c>
      <c r="G239" s="160" t="e">
        <f t="shared" si="48"/>
        <v>#DIV/0!</v>
      </c>
      <c r="H239" s="160" t="e">
        <f t="shared" si="48"/>
        <v>#DIV/0!</v>
      </c>
    </row>
    <row r="240" spans="3:10" x14ac:dyDescent="0.3">
      <c r="C240" s="102" t="s">
        <v>54</v>
      </c>
      <c r="D240" s="84" t="s">
        <v>548</v>
      </c>
      <c r="E240" s="200" t="e">
        <f>SUM(E231:E239)</f>
        <v>#DIV/0!</v>
      </c>
      <c r="F240" s="200" t="e">
        <f t="shared" ref="F240:H240" si="50">SUM(F231:F239)</f>
        <v>#DIV/0!</v>
      </c>
      <c r="G240" s="200" t="e">
        <f t="shared" si="50"/>
        <v>#DIV/0!</v>
      </c>
      <c r="H240" s="200" t="e">
        <f t="shared" si="50"/>
        <v>#DIV/0!</v>
      </c>
      <c r="J240" s="200" t="e">
        <f>SUM(E240:H240)</f>
        <v>#DIV/0!</v>
      </c>
    </row>
    <row r="242" spans="3:10" x14ac:dyDescent="0.3">
      <c r="C242" s="51" t="s">
        <v>549</v>
      </c>
    </row>
    <row r="243" spans="3:10" x14ac:dyDescent="0.3">
      <c r="C243" s="209" t="s">
        <v>14</v>
      </c>
      <c r="D243" s="207" t="s">
        <v>550</v>
      </c>
      <c r="E243" s="160" t="e">
        <f>E231*E$36</f>
        <v>#DIV/0!</v>
      </c>
      <c r="F243" s="160" t="e">
        <f t="shared" ref="F243:H243" si="51">F231*F$36</f>
        <v>#DIV/0!</v>
      </c>
      <c r="G243" s="160" t="e">
        <f t="shared" si="51"/>
        <v>#DIV/0!</v>
      </c>
      <c r="H243" s="160" t="e">
        <f t="shared" si="51"/>
        <v>#DIV/0!</v>
      </c>
    </row>
    <row r="244" spans="3:10" x14ac:dyDescent="0.3">
      <c r="C244" s="213" t="s">
        <v>15</v>
      </c>
      <c r="D244" s="207" t="s">
        <v>550</v>
      </c>
      <c r="E244" s="130">
        <f t="shared" ref="E244:H251" si="52">E232*E$36</f>
        <v>0</v>
      </c>
      <c r="F244" s="130">
        <f t="shared" si="52"/>
        <v>0</v>
      </c>
      <c r="G244" s="130">
        <f t="shared" si="52"/>
        <v>0</v>
      </c>
      <c r="H244" s="130">
        <f t="shared" si="52"/>
        <v>0</v>
      </c>
    </row>
    <row r="245" spans="3:10" x14ac:dyDescent="0.3">
      <c r="C245" s="210" t="s">
        <v>16</v>
      </c>
      <c r="D245" s="207" t="s">
        <v>550</v>
      </c>
      <c r="E245" s="130">
        <f t="shared" si="52"/>
        <v>0</v>
      </c>
      <c r="F245" s="130">
        <f t="shared" si="52"/>
        <v>0</v>
      </c>
      <c r="G245" s="130">
        <f t="shared" si="52"/>
        <v>0</v>
      </c>
      <c r="H245" s="130">
        <f t="shared" si="52"/>
        <v>0</v>
      </c>
    </row>
    <row r="246" spans="3:10" x14ac:dyDescent="0.3">
      <c r="C246" s="210" t="s">
        <v>17</v>
      </c>
      <c r="D246" s="207" t="s">
        <v>550</v>
      </c>
      <c r="E246" s="130">
        <f t="shared" si="52"/>
        <v>0</v>
      </c>
      <c r="F246" s="130">
        <f t="shared" si="52"/>
        <v>0</v>
      </c>
      <c r="G246" s="130">
        <f t="shared" si="52"/>
        <v>0</v>
      </c>
      <c r="H246" s="130">
        <f t="shared" si="52"/>
        <v>0</v>
      </c>
    </row>
    <row r="247" spans="3:10" x14ac:dyDescent="0.3">
      <c r="C247" s="210" t="s">
        <v>18</v>
      </c>
      <c r="D247" s="207" t="s">
        <v>550</v>
      </c>
      <c r="E247" s="130">
        <f t="shared" si="52"/>
        <v>0</v>
      </c>
      <c r="F247" s="130">
        <f t="shared" si="52"/>
        <v>0</v>
      </c>
      <c r="G247" s="130">
        <f t="shared" si="52"/>
        <v>0</v>
      </c>
      <c r="H247" s="130">
        <f t="shared" si="52"/>
        <v>0</v>
      </c>
    </row>
    <row r="248" spans="3:10" x14ac:dyDescent="0.3">
      <c r="C248" s="210" t="s">
        <v>19</v>
      </c>
      <c r="D248" s="207" t="s">
        <v>550</v>
      </c>
      <c r="E248" s="130">
        <f t="shared" si="52"/>
        <v>0</v>
      </c>
      <c r="F248" s="130">
        <f t="shared" si="52"/>
        <v>0</v>
      </c>
      <c r="G248" s="130">
        <f t="shared" si="52"/>
        <v>0</v>
      </c>
      <c r="H248" s="130">
        <f t="shared" si="52"/>
        <v>0</v>
      </c>
    </row>
    <row r="249" spans="3:10" x14ac:dyDescent="0.3">
      <c r="C249" s="213" t="s">
        <v>20</v>
      </c>
      <c r="D249" s="207" t="s">
        <v>550</v>
      </c>
      <c r="E249" s="130">
        <f t="shared" si="52"/>
        <v>0</v>
      </c>
      <c r="F249" s="130">
        <f t="shared" si="52"/>
        <v>0</v>
      </c>
      <c r="G249" s="130">
        <f t="shared" si="52"/>
        <v>0</v>
      </c>
      <c r="H249" s="130">
        <f t="shared" si="52"/>
        <v>0</v>
      </c>
    </row>
    <row r="250" spans="3:10" x14ac:dyDescent="0.3">
      <c r="C250" s="213" t="s">
        <v>21</v>
      </c>
      <c r="D250" s="207" t="s">
        <v>550</v>
      </c>
      <c r="E250" s="160" t="e">
        <f t="shared" si="52"/>
        <v>#DIV/0!</v>
      </c>
      <c r="F250" s="160" t="e">
        <f t="shared" si="52"/>
        <v>#DIV/0!</v>
      </c>
      <c r="G250" s="160" t="e">
        <f t="shared" si="52"/>
        <v>#DIV/0!</v>
      </c>
      <c r="H250" s="160" t="e">
        <f t="shared" si="52"/>
        <v>#DIV/0!</v>
      </c>
    </row>
    <row r="251" spans="3:10" x14ac:dyDescent="0.3">
      <c r="C251" s="213" t="s">
        <v>22</v>
      </c>
      <c r="D251" s="207" t="s">
        <v>550</v>
      </c>
      <c r="E251" s="160" t="e">
        <f t="shared" si="52"/>
        <v>#DIV/0!</v>
      </c>
      <c r="F251" s="160" t="e">
        <f t="shared" si="52"/>
        <v>#DIV/0!</v>
      </c>
      <c r="G251" s="160" t="e">
        <f t="shared" si="52"/>
        <v>#DIV/0!</v>
      </c>
      <c r="H251" s="160" t="e">
        <f t="shared" si="52"/>
        <v>#DIV/0!</v>
      </c>
    </row>
    <row r="252" spans="3:10" x14ac:dyDescent="0.3">
      <c r="C252" s="216" t="s">
        <v>54</v>
      </c>
      <c r="D252" s="207" t="s">
        <v>550</v>
      </c>
      <c r="E252" s="200" t="e">
        <f>SUM(E243:E251)</f>
        <v>#DIV/0!</v>
      </c>
      <c r="F252" s="200" t="e">
        <f>SUM(F243:F251)</f>
        <v>#DIV/0!</v>
      </c>
      <c r="G252" s="200" t="e">
        <f>SUM(G243:G251)</f>
        <v>#DIV/0!</v>
      </c>
      <c r="H252" s="200" t="e">
        <f>SUM(H243:H251)</f>
        <v>#DIV/0!</v>
      </c>
      <c r="J252" s="200" t="e">
        <f>SUM(E252:H252)</f>
        <v>#DIV/0!</v>
      </c>
    </row>
    <row r="254" spans="3:10" x14ac:dyDescent="0.3">
      <c r="C254" s="51" t="s">
        <v>537</v>
      </c>
    </row>
    <row r="255" spans="3:10" x14ac:dyDescent="0.3">
      <c r="C255" s="209" t="s">
        <v>14</v>
      </c>
      <c r="D255" s="207" t="s">
        <v>272</v>
      </c>
      <c r="E255" s="159" t="e">
        <f>E136*E122</f>
        <v>#DIV/0!</v>
      </c>
      <c r="F255" s="159" t="e">
        <f t="shared" ref="F255:H255" si="53">F136*F122</f>
        <v>#DIV/0!</v>
      </c>
      <c r="G255" s="159" t="e">
        <f t="shared" si="53"/>
        <v>#DIV/0!</v>
      </c>
      <c r="H255" s="159" t="e">
        <f t="shared" si="53"/>
        <v>#DIV/0!</v>
      </c>
    </row>
    <row r="256" spans="3:10" x14ac:dyDescent="0.3">
      <c r="C256" s="213" t="s">
        <v>15</v>
      </c>
      <c r="D256" s="207" t="s">
        <v>272</v>
      </c>
      <c r="E256" s="42">
        <f t="shared" ref="E256:H263" si="54">E137*E123</f>
        <v>0</v>
      </c>
      <c r="F256" s="42">
        <f t="shared" si="54"/>
        <v>0</v>
      </c>
      <c r="G256" s="42">
        <f t="shared" si="54"/>
        <v>0</v>
      </c>
      <c r="H256" s="42">
        <f t="shared" si="54"/>
        <v>0</v>
      </c>
    </row>
    <row r="257" spans="3:10" x14ac:dyDescent="0.3">
      <c r="C257" s="210" t="s">
        <v>16</v>
      </c>
      <c r="D257" s="207" t="s">
        <v>272</v>
      </c>
      <c r="E257" s="42">
        <f t="shared" si="54"/>
        <v>0</v>
      </c>
      <c r="F257" s="42">
        <f t="shared" si="54"/>
        <v>0</v>
      </c>
      <c r="G257" s="42">
        <f t="shared" si="54"/>
        <v>0</v>
      </c>
      <c r="H257" s="42">
        <f t="shared" si="54"/>
        <v>0</v>
      </c>
    </row>
    <row r="258" spans="3:10" x14ac:dyDescent="0.3">
      <c r="C258" s="210" t="s">
        <v>17</v>
      </c>
      <c r="D258" s="207" t="s">
        <v>272</v>
      </c>
      <c r="E258" s="42">
        <f t="shared" si="54"/>
        <v>0</v>
      </c>
      <c r="F258" s="42">
        <f t="shared" si="54"/>
        <v>0</v>
      </c>
      <c r="G258" s="42">
        <f t="shared" si="54"/>
        <v>0</v>
      </c>
      <c r="H258" s="42">
        <f t="shared" si="54"/>
        <v>0</v>
      </c>
    </row>
    <row r="259" spans="3:10" x14ac:dyDescent="0.3">
      <c r="C259" s="210" t="s">
        <v>18</v>
      </c>
      <c r="D259" s="207" t="s">
        <v>272</v>
      </c>
      <c r="E259" s="42">
        <f t="shared" si="54"/>
        <v>0</v>
      </c>
      <c r="F259" s="42">
        <f t="shared" si="54"/>
        <v>0</v>
      </c>
      <c r="G259" s="42">
        <f t="shared" si="54"/>
        <v>0</v>
      </c>
      <c r="H259" s="42">
        <f t="shared" si="54"/>
        <v>0</v>
      </c>
    </row>
    <row r="260" spans="3:10" x14ac:dyDescent="0.3">
      <c r="C260" s="210" t="s">
        <v>19</v>
      </c>
      <c r="D260" s="207" t="s">
        <v>272</v>
      </c>
      <c r="E260" s="42">
        <f t="shared" si="54"/>
        <v>0</v>
      </c>
      <c r="F260" s="42">
        <f t="shared" si="54"/>
        <v>0</v>
      </c>
      <c r="G260" s="42">
        <f t="shared" si="54"/>
        <v>0</v>
      </c>
      <c r="H260" s="42">
        <f t="shared" si="54"/>
        <v>0</v>
      </c>
    </row>
    <row r="261" spans="3:10" x14ac:dyDescent="0.3">
      <c r="C261" s="213" t="s">
        <v>20</v>
      </c>
      <c r="D261" s="207" t="s">
        <v>272</v>
      </c>
      <c r="E261" s="42">
        <f t="shared" si="54"/>
        <v>0</v>
      </c>
      <c r="F261" s="42">
        <f t="shared" si="54"/>
        <v>0</v>
      </c>
      <c r="G261" s="42">
        <f t="shared" si="54"/>
        <v>0</v>
      </c>
      <c r="H261" s="42">
        <f t="shared" si="54"/>
        <v>0</v>
      </c>
    </row>
    <row r="262" spans="3:10" x14ac:dyDescent="0.3">
      <c r="C262" s="213" t="s">
        <v>21</v>
      </c>
      <c r="D262" s="207" t="s">
        <v>272</v>
      </c>
      <c r="E262" s="159" t="e">
        <f t="shared" si="54"/>
        <v>#DIV/0!</v>
      </c>
      <c r="F262" s="159" t="e">
        <f t="shared" si="54"/>
        <v>#DIV/0!</v>
      </c>
      <c r="G262" s="159" t="e">
        <f t="shared" si="54"/>
        <v>#DIV/0!</v>
      </c>
      <c r="H262" s="159" t="e">
        <f t="shared" si="54"/>
        <v>#DIV/0!</v>
      </c>
    </row>
    <row r="263" spans="3:10" x14ac:dyDescent="0.3">
      <c r="C263" s="213" t="s">
        <v>22</v>
      </c>
      <c r="D263" s="207" t="s">
        <v>272</v>
      </c>
      <c r="E263" s="159" t="e">
        <f t="shared" si="54"/>
        <v>#DIV/0!</v>
      </c>
      <c r="F263" s="159" t="e">
        <f t="shared" si="54"/>
        <v>#DIV/0!</v>
      </c>
      <c r="G263" s="159" t="e">
        <f t="shared" si="54"/>
        <v>#DIV/0!</v>
      </c>
      <c r="H263" s="159" t="e">
        <f t="shared" si="54"/>
        <v>#DIV/0!</v>
      </c>
    </row>
    <row r="264" spans="3:10" x14ac:dyDescent="0.3">
      <c r="C264" s="102" t="s">
        <v>54</v>
      </c>
      <c r="D264" s="133" t="s">
        <v>272</v>
      </c>
      <c r="E264" s="45" t="e">
        <f>SUM(E255:E263)</f>
        <v>#DIV/0!</v>
      </c>
      <c r="F264" s="45" t="e">
        <f t="shared" ref="F264:H264" si="55">SUM(F255:F263)</f>
        <v>#DIV/0!</v>
      </c>
      <c r="G264" s="45" t="e">
        <f t="shared" si="55"/>
        <v>#DIV/0!</v>
      </c>
      <c r="H264" s="45" t="e">
        <f t="shared" si="55"/>
        <v>#DIV/0!</v>
      </c>
      <c r="J264" s="45" t="e">
        <f>SUM(E264:H264)</f>
        <v>#DIV/0!</v>
      </c>
    </row>
    <row r="266" spans="3:10" x14ac:dyDescent="0.3">
      <c r="C266" s="51" t="s">
        <v>551</v>
      </c>
    </row>
    <row r="267" spans="3:10" x14ac:dyDescent="0.3">
      <c r="C267" s="209" t="s">
        <v>14</v>
      </c>
      <c r="D267" s="207" t="s">
        <v>69</v>
      </c>
      <c r="E267" s="159" t="e">
        <f>E255*$J122</f>
        <v>#DIV/0!</v>
      </c>
      <c r="F267" s="159" t="e">
        <f t="shared" ref="F267:H267" si="56">F255*$J122</f>
        <v>#DIV/0!</v>
      </c>
      <c r="G267" s="159" t="e">
        <f t="shared" si="56"/>
        <v>#DIV/0!</v>
      </c>
      <c r="H267" s="159" t="e">
        <f t="shared" si="56"/>
        <v>#DIV/0!</v>
      </c>
    </row>
    <row r="268" spans="3:10" x14ac:dyDescent="0.3">
      <c r="C268" s="213" t="s">
        <v>15</v>
      </c>
      <c r="D268" s="207" t="s">
        <v>69</v>
      </c>
      <c r="E268" s="42">
        <f t="shared" ref="E268:H275" si="57">E256*$J123</f>
        <v>0</v>
      </c>
      <c r="F268" s="42">
        <f t="shared" si="57"/>
        <v>0</v>
      </c>
      <c r="G268" s="42">
        <f t="shared" si="57"/>
        <v>0</v>
      </c>
      <c r="H268" s="42">
        <f t="shared" si="57"/>
        <v>0</v>
      </c>
    </row>
    <row r="269" spans="3:10" x14ac:dyDescent="0.3">
      <c r="C269" s="210" t="s">
        <v>16</v>
      </c>
      <c r="D269" s="207" t="s">
        <v>69</v>
      </c>
      <c r="E269" s="42">
        <f t="shared" si="57"/>
        <v>0</v>
      </c>
      <c r="F269" s="42">
        <f t="shared" si="57"/>
        <v>0</v>
      </c>
      <c r="G269" s="42">
        <f t="shared" si="57"/>
        <v>0</v>
      </c>
      <c r="H269" s="42">
        <f t="shared" si="57"/>
        <v>0</v>
      </c>
    </row>
    <row r="270" spans="3:10" x14ac:dyDescent="0.3">
      <c r="C270" s="210" t="s">
        <v>17</v>
      </c>
      <c r="D270" s="207" t="s">
        <v>69</v>
      </c>
      <c r="E270" s="42">
        <f t="shared" si="57"/>
        <v>0</v>
      </c>
      <c r="F270" s="42">
        <f t="shared" si="57"/>
        <v>0</v>
      </c>
      <c r="G270" s="42">
        <f t="shared" si="57"/>
        <v>0</v>
      </c>
      <c r="H270" s="42">
        <f t="shared" si="57"/>
        <v>0</v>
      </c>
    </row>
    <row r="271" spans="3:10" x14ac:dyDescent="0.3">
      <c r="C271" s="210" t="s">
        <v>18</v>
      </c>
      <c r="D271" s="207" t="s">
        <v>69</v>
      </c>
      <c r="E271" s="42">
        <f t="shared" si="57"/>
        <v>0</v>
      </c>
      <c r="F271" s="42">
        <f t="shared" si="57"/>
        <v>0</v>
      </c>
      <c r="G271" s="42">
        <f t="shared" si="57"/>
        <v>0</v>
      </c>
      <c r="H271" s="42">
        <f t="shared" si="57"/>
        <v>0</v>
      </c>
    </row>
    <row r="272" spans="3:10" x14ac:dyDescent="0.3">
      <c r="C272" s="210" t="s">
        <v>19</v>
      </c>
      <c r="D272" s="207" t="s">
        <v>69</v>
      </c>
      <c r="E272" s="42">
        <f t="shared" si="57"/>
        <v>0</v>
      </c>
      <c r="F272" s="42">
        <f t="shared" si="57"/>
        <v>0</v>
      </c>
      <c r="G272" s="42">
        <f t="shared" si="57"/>
        <v>0</v>
      </c>
      <c r="H272" s="42">
        <f t="shared" si="57"/>
        <v>0</v>
      </c>
    </row>
    <row r="273" spans="3:10" x14ac:dyDescent="0.3">
      <c r="C273" s="213" t="s">
        <v>20</v>
      </c>
      <c r="D273" s="207" t="s">
        <v>69</v>
      </c>
      <c r="E273" s="42">
        <f t="shared" si="57"/>
        <v>0</v>
      </c>
      <c r="F273" s="42">
        <f t="shared" si="57"/>
        <v>0</v>
      </c>
      <c r="G273" s="42">
        <f t="shared" si="57"/>
        <v>0</v>
      </c>
      <c r="H273" s="42">
        <f t="shared" si="57"/>
        <v>0</v>
      </c>
    </row>
    <row r="274" spans="3:10" x14ac:dyDescent="0.3">
      <c r="C274" s="213" t="s">
        <v>21</v>
      </c>
      <c r="D274" s="207" t="s">
        <v>69</v>
      </c>
      <c r="E274" s="159" t="e">
        <f t="shared" si="57"/>
        <v>#DIV/0!</v>
      </c>
      <c r="F274" s="159" t="e">
        <f t="shared" si="57"/>
        <v>#DIV/0!</v>
      </c>
      <c r="G274" s="159" t="e">
        <f t="shared" si="57"/>
        <v>#DIV/0!</v>
      </c>
      <c r="H274" s="159" t="e">
        <f t="shared" si="57"/>
        <v>#DIV/0!</v>
      </c>
    </row>
    <row r="275" spans="3:10" x14ac:dyDescent="0.3">
      <c r="C275" s="213" t="s">
        <v>22</v>
      </c>
      <c r="D275" s="207" t="s">
        <v>69</v>
      </c>
      <c r="E275" s="159" t="e">
        <f t="shared" si="57"/>
        <v>#DIV/0!</v>
      </c>
      <c r="F275" s="159" t="e">
        <f t="shared" si="57"/>
        <v>#DIV/0!</v>
      </c>
      <c r="G275" s="159" t="e">
        <f t="shared" si="57"/>
        <v>#DIV/0!</v>
      </c>
      <c r="H275" s="159" t="e">
        <f t="shared" si="57"/>
        <v>#DIV/0!</v>
      </c>
    </row>
    <row r="276" spans="3:10" x14ac:dyDescent="0.3">
      <c r="C276" s="216" t="s">
        <v>54</v>
      </c>
      <c r="D276" s="207" t="s">
        <v>69</v>
      </c>
      <c r="E276" s="45" t="e">
        <f>SUM(E267:E275)</f>
        <v>#DIV/0!</v>
      </c>
      <c r="F276" s="45" t="e">
        <f>SUM(F267:F275)</f>
        <v>#DIV/0!</v>
      </c>
      <c r="G276" s="45" t="e">
        <f>SUM(G267:G275)</f>
        <v>#DIV/0!</v>
      </c>
      <c r="H276" s="45" t="e">
        <f>SUM(H267:H275)</f>
        <v>#DIV/0!</v>
      </c>
      <c r="J276" s="45" t="e">
        <f>SUM(E276:H276)</f>
        <v>#DIV/0!</v>
      </c>
    </row>
  </sheetData>
  <sheetProtection algorithmName="SHA-512" hashValue="MHTYYcuEq9sfqt0cuIGj6VN974eXlPjGx/M8KB6mWAT1ivTV58zaSO1PZyaXG5Pv5Ttmx7KMCZzDRMcfG5eILg==" saltValue="gcf192ac5yDakwm6iLomEA==" spinCount="100000" sheet="1" objects="1" scenarios="1"/>
  <mergeCells count="8">
    <mergeCell ref="E134:F134"/>
    <mergeCell ref="G134:H134"/>
    <mergeCell ref="E6:F6"/>
    <mergeCell ref="G6:H6"/>
    <mergeCell ref="E16:F16"/>
    <mergeCell ref="G16:H16"/>
    <mergeCell ref="E73:F73"/>
    <mergeCell ref="G73:H73"/>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1B2DD-7C8C-40F3-B374-B5FE7813FEC1}">
  <sheetPr>
    <tabColor theme="7" tint="0.39997558519241921"/>
  </sheetPr>
  <dimension ref="B2:AN238"/>
  <sheetViews>
    <sheetView zoomScaleNormal="100" workbookViewId="0">
      <pane ySplit="7" topLeftCell="A8" activePane="bottomLeft" state="frozen"/>
      <selection activeCell="B1" sqref="B1"/>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2" width="10.5703125" style="17" customWidth="1"/>
    <col min="13" max="13" width="9.85546875" style="17" customWidth="1"/>
    <col min="14" max="35" width="8.85546875" style="17"/>
    <col min="36" max="36" width="13" style="17" customWidth="1"/>
    <col min="37" max="16384" width="8.85546875" style="17"/>
  </cols>
  <sheetData>
    <row r="2" spans="2:14" s="16" customFormat="1" ht="17.25" x14ac:dyDescent="0.3">
      <c r="C2" s="16" t="s">
        <v>145</v>
      </c>
      <c r="D2" s="16" t="s">
        <v>146</v>
      </c>
    </row>
    <row r="4" spans="2:14" ht="20.25" x14ac:dyDescent="0.35">
      <c r="B4" s="77"/>
      <c r="C4" s="81" t="s">
        <v>748</v>
      </c>
      <c r="D4" s="76"/>
    </row>
    <row r="5" spans="2:14" s="18" customFormat="1" ht="17.25" thickBot="1" x14ac:dyDescent="0.35">
      <c r="B5" s="19" t="s">
        <v>153</v>
      </c>
      <c r="C5" s="19" t="s">
        <v>154</v>
      </c>
      <c r="D5" s="19" t="s">
        <v>32</v>
      </c>
      <c r="E5" s="19" t="s">
        <v>155</v>
      </c>
      <c r="F5" s="19"/>
      <c r="G5" s="19" t="s">
        <v>155</v>
      </c>
      <c r="H5" s="19"/>
      <c r="I5" s="19"/>
      <c r="J5" s="56" t="s">
        <v>156</v>
      </c>
      <c r="K5" s="56"/>
      <c r="L5" s="56"/>
    </row>
    <row r="6" spans="2:14" s="30" customFormat="1" ht="18" thickTop="1" thickBot="1" x14ac:dyDescent="0.35">
      <c r="B6" s="28"/>
      <c r="C6" s="29" t="s">
        <v>157</v>
      </c>
      <c r="D6" s="29"/>
      <c r="E6" s="335" t="s">
        <v>5</v>
      </c>
      <c r="F6" s="335"/>
      <c r="G6" s="335" t="s">
        <v>6</v>
      </c>
      <c r="H6" s="335"/>
      <c r="I6" s="28"/>
      <c r="J6" s="28"/>
      <c r="K6" s="57"/>
      <c r="L6" s="57"/>
    </row>
    <row r="7" spans="2:14" ht="34.5" thickTop="1" thickBot="1" x14ac:dyDescent="0.35">
      <c r="B7" s="19"/>
      <c r="C7" s="29" t="s">
        <v>158</v>
      </c>
      <c r="D7" s="29"/>
      <c r="E7" s="29" t="s">
        <v>7</v>
      </c>
      <c r="F7" s="29" t="s">
        <v>8</v>
      </c>
      <c r="G7" s="29" t="s">
        <v>7</v>
      </c>
      <c r="H7" s="29" t="s">
        <v>8</v>
      </c>
      <c r="I7" s="19"/>
      <c r="J7" s="123" t="s">
        <v>749</v>
      </c>
      <c r="K7" s="124" t="s">
        <v>750</v>
      </c>
      <c r="L7" s="124" t="s">
        <v>751</v>
      </c>
      <c r="N7" s="17" t="s">
        <v>752</v>
      </c>
    </row>
    <row r="8" spans="2:14" ht="17.25" thickTop="1" x14ac:dyDescent="0.3">
      <c r="C8" s="105" t="s">
        <v>753</v>
      </c>
      <c r="E8" s="25">
        <v>460</v>
      </c>
      <c r="F8" s="42">
        <f>E8</f>
        <v>460</v>
      </c>
      <c r="G8" s="25">
        <f>E8*'Model homes'!G24/'Model homes'!E24</f>
        <v>246.42857142857142</v>
      </c>
      <c r="H8" s="42">
        <f>G8</f>
        <v>246.42857142857142</v>
      </c>
      <c r="J8" s="103">
        <v>600</v>
      </c>
      <c r="K8" s="103">
        <v>460</v>
      </c>
      <c r="L8" s="103">
        <v>60</v>
      </c>
      <c r="N8" s="122" t="s">
        <v>754</v>
      </c>
    </row>
    <row r="9" spans="2:14" x14ac:dyDescent="0.3">
      <c r="C9" s="15" t="s">
        <v>755</v>
      </c>
      <c r="E9" s="25">
        <v>350</v>
      </c>
      <c r="F9" s="42">
        <f t="shared" ref="F9:H32" si="0">E9</f>
        <v>350</v>
      </c>
      <c r="G9" s="25">
        <f>E9*'Model homes'!G$23/'Model homes'!E$23</f>
        <v>262.5</v>
      </c>
      <c r="H9" s="42">
        <f t="shared" si="0"/>
        <v>262.5</v>
      </c>
    </row>
    <row r="10" spans="2:14" x14ac:dyDescent="0.3">
      <c r="C10" s="15" t="s">
        <v>756</v>
      </c>
      <c r="E10" s="25">
        <v>250</v>
      </c>
      <c r="F10" s="42">
        <f t="shared" si="0"/>
        <v>250</v>
      </c>
      <c r="G10" s="25">
        <f>E10*'Model homes'!G$23/'Model homes'!E$23</f>
        <v>187.5</v>
      </c>
      <c r="H10" s="42">
        <f t="shared" si="0"/>
        <v>187.5</v>
      </c>
    </row>
    <row r="11" spans="2:14" x14ac:dyDescent="0.3">
      <c r="C11" s="140" t="s">
        <v>757</v>
      </c>
      <c r="E11" s="25">
        <v>150</v>
      </c>
      <c r="F11" s="42">
        <f t="shared" si="0"/>
        <v>150</v>
      </c>
      <c r="G11" s="25">
        <f>E11*'Model homes'!G$23/'Model homes'!E$23</f>
        <v>112.5</v>
      </c>
      <c r="H11" s="42">
        <f t="shared" si="0"/>
        <v>112.5</v>
      </c>
      <c r="J11" s="103">
        <v>220</v>
      </c>
      <c r="K11" s="103">
        <v>131.04</v>
      </c>
      <c r="L11" s="103">
        <v>99.84</v>
      </c>
      <c r="N11" s="41">
        <f>1-L11/J11</f>
        <v>0.5461818181818181</v>
      </c>
    </row>
    <row r="12" spans="2:14" x14ac:dyDescent="0.3">
      <c r="C12" s="15" t="s">
        <v>758</v>
      </c>
      <c r="E12" s="25">
        <v>85</v>
      </c>
      <c r="F12" s="42">
        <f t="shared" si="0"/>
        <v>85</v>
      </c>
      <c r="G12" s="25">
        <f>E12*'Model homes'!G$23/'Model homes'!E$23</f>
        <v>63.75</v>
      </c>
      <c r="H12" s="42">
        <f t="shared" si="0"/>
        <v>63.75</v>
      </c>
    </row>
    <row r="13" spans="2:14" x14ac:dyDescent="0.3">
      <c r="C13" s="15" t="s">
        <v>759</v>
      </c>
      <c r="E13" s="25">
        <v>300</v>
      </c>
      <c r="F13" s="42">
        <f t="shared" si="0"/>
        <v>300</v>
      </c>
      <c r="G13" s="25">
        <f>E13*'Model homes'!G$23/'Model homes'!E$23</f>
        <v>225</v>
      </c>
      <c r="H13" s="42">
        <f t="shared" si="0"/>
        <v>225</v>
      </c>
    </row>
    <row r="14" spans="2:14" x14ac:dyDescent="0.3">
      <c r="C14" s="139" t="s">
        <v>760</v>
      </c>
      <c r="E14" s="25">
        <v>345</v>
      </c>
      <c r="F14" s="42">
        <f t="shared" si="0"/>
        <v>345</v>
      </c>
      <c r="G14" s="25">
        <f>E14*'Model homes'!G$23/'Model homes'!E$23</f>
        <v>258.75</v>
      </c>
      <c r="H14" s="42">
        <f t="shared" si="0"/>
        <v>258.75</v>
      </c>
      <c r="J14" s="103">
        <v>345</v>
      </c>
      <c r="K14" s="103">
        <v>238</v>
      </c>
      <c r="L14" s="103">
        <v>108</v>
      </c>
      <c r="N14" s="41">
        <f>1-L14/J14</f>
        <v>0.68695652173913047</v>
      </c>
    </row>
    <row r="15" spans="2:14" x14ac:dyDescent="0.3">
      <c r="C15" s="139" t="s">
        <v>761</v>
      </c>
      <c r="E15" s="25">
        <v>280</v>
      </c>
      <c r="F15" s="42">
        <f t="shared" si="0"/>
        <v>280</v>
      </c>
      <c r="G15" s="25">
        <f>E15*'Model homes'!G$23/'Model homes'!E$23</f>
        <v>210</v>
      </c>
      <c r="H15" s="42">
        <f t="shared" si="0"/>
        <v>210</v>
      </c>
      <c r="J15" s="103">
        <v>400</v>
      </c>
      <c r="K15" s="103">
        <v>250</v>
      </c>
      <c r="L15" s="103">
        <v>120</v>
      </c>
      <c r="N15" s="41">
        <f>1-L15/K15</f>
        <v>0.52</v>
      </c>
    </row>
    <row r="16" spans="2:14" x14ac:dyDescent="0.3">
      <c r="C16" s="140" t="s">
        <v>762</v>
      </c>
      <c r="E16" s="25">
        <v>145.08000000000001</v>
      </c>
      <c r="F16" s="42">
        <f t="shared" si="0"/>
        <v>145.08000000000001</v>
      </c>
      <c r="G16" s="25">
        <f>E16*'Model homes'!G$23/'Model homes'!E$23</f>
        <v>108.81</v>
      </c>
      <c r="H16" s="42">
        <f t="shared" si="0"/>
        <v>108.81</v>
      </c>
      <c r="J16" s="103">
        <v>145.08000000000001</v>
      </c>
      <c r="K16" s="103">
        <v>113.88000000000001</v>
      </c>
      <c r="L16" s="103">
        <v>71.760000000000005</v>
      </c>
      <c r="N16" s="41">
        <f>1-L16/J16</f>
        <v>0.5053763440860215</v>
      </c>
    </row>
    <row r="17" spans="3:12" x14ac:dyDescent="0.3">
      <c r="C17" s="105" t="s">
        <v>763</v>
      </c>
      <c r="E17" s="25">
        <v>165</v>
      </c>
      <c r="F17" s="42">
        <f t="shared" si="0"/>
        <v>165</v>
      </c>
      <c r="G17" s="25">
        <f>E17*'Model homes'!G$23/'Model homes'!E$23</f>
        <v>123.75</v>
      </c>
      <c r="H17" s="42">
        <f t="shared" si="0"/>
        <v>123.75</v>
      </c>
    </row>
    <row r="18" spans="3:12" x14ac:dyDescent="0.3">
      <c r="C18" s="15" t="s">
        <v>764</v>
      </c>
      <c r="E18" s="25">
        <v>6.03</v>
      </c>
      <c r="F18" s="42">
        <f t="shared" si="0"/>
        <v>6.03</v>
      </c>
      <c r="G18" s="25">
        <f>E18*'Model homes'!G$23/'Model homes'!E$23</f>
        <v>4.5225</v>
      </c>
      <c r="H18" s="42">
        <f t="shared" si="0"/>
        <v>4.5225</v>
      </c>
    </row>
    <row r="19" spans="3:12" x14ac:dyDescent="0.3">
      <c r="C19" s="15" t="s">
        <v>765</v>
      </c>
      <c r="E19" s="25">
        <v>68</v>
      </c>
      <c r="F19" s="42">
        <f t="shared" si="0"/>
        <v>68</v>
      </c>
      <c r="G19" s="25">
        <f>E19*'Model homes'!G$23/'Model homes'!E$23</f>
        <v>51</v>
      </c>
      <c r="H19" s="42">
        <f t="shared" si="0"/>
        <v>51</v>
      </c>
    </row>
    <row r="20" spans="3:12" x14ac:dyDescent="0.3">
      <c r="C20" s="15" t="s">
        <v>766</v>
      </c>
      <c r="E20" s="25">
        <v>22.78</v>
      </c>
      <c r="F20" s="42">
        <f t="shared" si="0"/>
        <v>22.78</v>
      </c>
      <c r="G20" s="25">
        <f>E20*'Model homes'!G$23/'Model homes'!E$23</f>
        <v>17.085000000000001</v>
      </c>
      <c r="H20" s="42">
        <f t="shared" si="0"/>
        <v>17.085000000000001</v>
      </c>
    </row>
    <row r="21" spans="3:12" x14ac:dyDescent="0.3">
      <c r="C21" s="15" t="s">
        <v>767</v>
      </c>
      <c r="E21" s="25">
        <v>22.78</v>
      </c>
      <c r="F21" s="42">
        <f t="shared" si="0"/>
        <v>22.78</v>
      </c>
      <c r="G21" s="25">
        <f>E21*'Model homes'!G$23/'Model homes'!E$23</f>
        <v>17.085000000000001</v>
      </c>
      <c r="H21" s="42">
        <f t="shared" si="0"/>
        <v>17.085000000000001</v>
      </c>
    </row>
    <row r="22" spans="3:12" x14ac:dyDescent="0.3">
      <c r="C22" s="15" t="s">
        <v>768</v>
      </c>
      <c r="E22" s="25">
        <v>93.8</v>
      </c>
      <c r="F22" s="42">
        <f t="shared" si="0"/>
        <v>93.8</v>
      </c>
      <c r="G22" s="25"/>
      <c r="H22" s="42">
        <f t="shared" si="0"/>
        <v>0</v>
      </c>
    </row>
    <row r="23" spans="3:12" x14ac:dyDescent="0.3">
      <c r="C23" s="15" t="s">
        <v>769</v>
      </c>
      <c r="E23" s="25"/>
      <c r="F23" s="42">
        <f t="shared" si="0"/>
        <v>0</v>
      </c>
      <c r="G23" s="25">
        <f>E23*'Model homes'!G$23/'Model homes'!E$23</f>
        <v>0</v>
      </c>
      <c r="H23" s="42">
        <f t="shared" si="0"/>
        <v>0</v>
      </c>
    </row>
    <row r="24" spans="3:12" x14ac:dyDescent="0.3">
      <c r="C24" s="15" t="s">
        <v>770</v>
      </c>
      <c r="E24" s="25">
        <v>100</v>
      </c>
      <c r="F24" s="42">
        <f t="shared" si="0"/>
        <v>100</v>
      </c>
      <c r="G24" s="25">
        <f>E24*'Model homes'!G$23/'Model homes'!E$23</f>
        <v>75</v>
      </c>
      <c r="H24" s="42">
        <f t="shared" si="0"/>
        <v>75</v>
      </c>
    </row>
    <row r="25" spans="3:12" x14ac:dyDescent="0.3">
      <c r="C25" s="15" t="s">
        <v>771</v>
      </c>
      <c r="E25" s="25"/>
      <c r="F25" s="42">
        <f t="shared" si="0"/>
        <v>0</v>
      </c>
      <c r="G25" s="25">
        <f>E25*'Model homes'!G$23/'Model homes'!E$23</f>
        <v>0</v>
      </c>
      <c r="H25" s="42">
        <f t="shared" si="0"/>
        <v>0</v>
      </c>
    </row>
    <row r="26" spans="3:12" x14ac:dyDescent="0.3">
      <c r="C26" s="15" t="s">
        <v>772</v>
      </c>
      <c r="E26" s="25"/>
      <c r="F26" s="42">
        <f t="shared" si="0"/>
        <v>0</v>
      </c>
      <c r="G26" s="25">
        <f>E26*'Model homes'!G$23/'Model homes'!E$23</f>
        <v>0</v>
      </c>
      <c r="H26" s="42">
        <f t="shared" si="0"/>
        <v>0</v>
      </c>
    </row>
    <row r="27" spans="3:12" x14ac:dyDescent="0.3">
      <c r="C27" s="15" t="s">
        <v>773</v>
      </c>
      <c r="E27" s="25">
        <v>188.02</v>
      </c>
      <c r="F27" s="42">
        <f t="shared" si="0"/>
        <v>188.02</v>
      </c>
      <c r="G27" s="25">
        <f>E27*'Model homes'!G$23/'Model homes'!E$23</f>
        <v>141.01500000000001</v>
      </c>
      <c r="H27" s="42">
        <f t="shared" si="0"/>
        <v>141.01500000000001</v>
      </c>
      <c r="J27" s="103">
        <v>188.02</v>
      </c>
      <c r="K27" s="103">
        <v>122.57</v>
      </c>
      <c r="L27" s="103">
        <v>70.209999999999994</v>
      </c>
    </row>
    <row r="28" spans="3:12" x14ac:dyDescent="0.3">
      <c r="C28" s="15" t="s">
        <v>774</v>
      </c>
      <c r="E28" s="25"/>
      <c r="F28" s="42">
        <f t="shared" si="0"/>
        <v>0</v>
      </c>
      <c r="G28" s="25">
        <f>E28*'Model homes'!G$23/'Model homes'!E$23</f>
        <v>0</v>
      </c>
      <c r="H28" s="42">
        <f t="shared" si="0"/>
        <v>0</v>
      </c>
    </row>
    <row r="29" spans="3:12" x14ac:dyDescent="0.3">
      <c r="C29" s="15" t="s">
        <v>775</v>
      </c>
      <c r="E29" s="25">
        <v>26.8</v>
      </c>
      <c r="F29" s="42">
        <f t="shared" si="0"/>
        <v>26.8</v>
      </c>
      <c r="G29" s="25">
        <f>E29*'Model homes'!G$23/'Model homes'!E$23</f>
        <v>20.100000000000001</v>
      </c>
      <c r="H29" s="42">
        <f t="shared" si="0"/>
        <v>20.100000000000001</v>
      </c>
    </row>
    <row r="30" spans="3:12" x14ac:dyDescent="0.3">
      <c r="C30" s="15" t="s">
        <v>776</v>
      </c>
      <c r="E30" s="25">
        <v>14</v>
      </c>
      <c r="F30" s="42">
        <f t="shared" si="0"/>
        <v>14</v>
      </c>
      <c r="G30" s="25">
        <f>E30*'Model homes'!G$23/'Model homes'!E$23</f>
        <v>10.5</v>
      </c>
      <c r="H30" s="42">
        <f t="shared" si="0"/>
        <v>10.5</v>
      </c>
    </row>
    <row r="31" spans="3:12" x14ac:dyDescent="0.3">
      <c r="C31" s="105" t="s">
        <v>777</v>
      </c>
      <c r="E31" s="25">
        <v>200</v>
      </c>
      <c r="F31" s="42">
        <f t="shared" si="0"/>
        <v>200</v>
      </c>
      <c r="G31" s="25">
        <f>E31*'Model homes'!G$23/'Model homes'!E$23</f>
        <v>150</v>
      </c>
      <c r="H31" s="42">
        <f t="shared" si="0"/>
        <v>150</v>
      </c>
    </row>
    <row r="32" spans="3:12" x14ac:dyDescent="0.3">
      <c r="C32" s="15" t="s">
        <v>778</v>
      </c>
      <c r="E32" s="25">
        <v>160</v>
      </c>
      <c r="F32" s="42">
        <f t="shared" si="0"/>
        <v>160</v>
      </c>
      <c r="G32" s="25"/>
      <c r="H32" s="42">
        <f t="shared" si="0"/>
        <v>0</v>
      </c>
      <c r="K32" s="103">
        <v>160</v>
      </c>
      <c r="L32" s="103">
        <v>80</v>
      </c>
    </row>
    <row r="33" spans="3:22" x14ac:dyDescent="0.3">
      <c r="C33" s="15" t="s">
        <v>779</v>
      </c>
      <c r="E33" s="25">
        <f>AVERAGE('Model homes'!E48:E55)*S33</f>
        <v>119.11714978350604</v>
      </c>
      <c r="F33" s="25">
        <f>AVERAGE('Model homes'!F48:F55)*T33</f>
        <v>89.504230841329559</v>
      </c>
      <c r="G33" s="25">
        <f>AVERAGE('Model homes'!G48:G55)*U33</f>
        <v>41.397671831533316</v>
      </c>
      <c r="H33" s="25">
        <f>AVERAGE('Model homes'!H48:H55)*V33</f>
        <v>23.742236778187486</v>
      </c>
      <c r="O33" s="17">
        <v>65</v>
      </c>
      <c r="P33" s="17" t="s">
        <v>780</v>
      </c>
      <c r="S33" s="17">
        <v>4.2103940174699934E-3</v>
      </c>
      <c r="T33" s="17">
        <v>9.0979984403431243E-3</v>
      </c>
      <c r="U33" s="17">
        <v>4.0720513557535691E-3</v>
      </c>
      <c r="V33" s="17">
        <v>5.6532799895631751E-3</v>
      </c>
    </row>
    <row r="34" spans="3:22" x14ac:dyDescent="0.3">
      <c r="C34" s="15" t="s">
        <v>781</v>
      </c>
      <c r="E34" s="25">
        <f>$K34*AVERAGE('Model homes'!E95:E101)</f>
        <v>177.47528249929422</v>
      </c>
      <c r="F34" s="25">
        <f>$K34*AVERAGE('Model homes'!F95:F101)</f>
        <v>168.09288844462858</v>
      </c>
      <c r="G34" s="25">
        <f>$K34*AVERAGE('Model homes'!G95:G101)</f>
        <v>196.50759995428706</v>
      </c>
      <c r="H34" s="25">
        <f>$K34*AVERAGE('Model homes'!H95:H101)</f>
        <v>188.2750938006449</v>
      </c>
      <c r="K34" s="58">
        <v>0.03</v>
      </c>
      <c r="N34" s="42" t="s">
        <v>782</v>
      </c>
      <c r="O34" s="17">
        <v>66</v>
      </c>
      <c r="P34" s="17" t="s">
        <v>783</v>
      </c>
      <c r="S34" s="17">
        <v>3.552397868561279E-3</v>
      </c>
      <c r="T34" s="17">
        <v>6.5127294256956776E-3</v>
      </c>
      <c r="U34" s="17">
        <v>7.8109932497589199E-2</v>
      </c>
      <c r="V34" s="17">
        <v>0</v>
      </c>
    </row>
    <row r="35" spans="3:22" x14ac:dyDescent="0.3">
      <c r="C35" s="14" t="s">
        <v>784</v>
      </c>
      <c r="D35" s="46"/>
      <c r="E35" s="42">
        <f>SUM(E8:E34)</f>
        <v>3728.8824322828013</v>
      </c>
      <c r="F35" s="42">
        <f>SUM(F8:F34)</f>
        <v>3689.8871192859588</v>
      </c>
      <c r="G35" s="42">
        <f>SUM(G8:G34)</f>
        <v>2523.2013432143917</v>
      </c>
      <c r="H35" s="42">
        <f>SUM(H8:H34)</f>
        <v>2497.3134020074035</v>
      </c>
    </row>
    <row r="36" spans="3:22" x14ac:dyDescent="0.3">
      <c r="C36" s="36" t="s">
        <v>785</v>
      </c>
      <c r="D36" s="46"/>
      <c r="E36" s="103">
        <v>3800</v>
      </c>
      <c r="F36" s="42"/>
      <c r="G36" s="103">
        <v>2400</v>
      </c>
      <c r="H36" s="42"/>
      <c r="N36" s="6" t="s">
        <v>786</v>
      </c>
    </row>
    <row r="38" spans="3:22" ht="20.25" x14ac:dyDescent="0.35">
      <c r="C38" s="81" t="s">
        <v>787</v>
      </c>
    </row>
    <row r="39" spans="3:22" x14ac:dyDescent="0.3">
      <c r="C39" s="15" t="s">
        <v>788</v>
      </c>
      <c r="D39" s="15" t="s">
        <v>789</v>
      </c>
      <c r="E39" s="25">
        <v>35</v>
      </c>
      <c r="F39" s="25">
        <v>30</v>
      </c>
      <c r="G39" s="25">
        <v>40</v>
      </c>
      <c r="H39" s="25">
        <v>35</v>
      </c>
      <c r="K39" s="103" t="s">
        <v>790</v>
      </c>
      <c r="N39" s="6" t="s">
        <v>791</v>
      </c>
    </row>
    <row r="40" spans="3:22" x14ac:dyDescent="0.3">
      <c r="C40" s="15" t="str">
        <f>'Model homes'!C24</f>
        <v>Heated gross floor area per home/apartment</v>
      </c>
      <c r="D40" s="15" t="s">
        <v>160</v>
      </c>
      <c r="E40" s="42">
        <f>'Model homes'!E24</f>
        <v>140</v>
      </c>
      <c r="F40" s="42">
        <f>'Model homes'!F24</f>
        <v>140</v>
      </c>
      <c r="G40" s="42">
        <f>'Model homes'!G24</f>
        <v>75</v>
      </c>
      <c r="H40" s="42">
        <f>'Model homes'!H24</f>
        <v>75</v>
      </c>
      <c r="N40" s="6"/>
    </row>
    <row r="41" spans="3:22" x14ac:dyDescent="0.3">
      <c r="C41" s="15" t="s">
        <v>792</v>
      </c>
      <c r="D41" s="15" t="s">
        <v>188</v>
      </c>
      <c r="E41" s="38">
        <v>60</v>
      </c>
      <c r="F41" s="97">
        <f>E41</f>
        <v>60</v>
      </c>
      <c r="G41" s="97">
        <f t="shared" ref="G41:H41" si="1">F41</f>
        <v>60</v>
      </c>
      <c r="H41" s="97">
        <f t="shared" si="1"/>
        <v>60</v>
      </c>
      <c r="N41" s="6"/>
    </row>
    <row r="42" spans="3:22" x14ac:dyDescent="0.3">
      <c r="C42" s="15" t="s">
        <v>793</v>
      </c>
      <c r="D42" s="15" t="s">
        <v>160</v>
      </c>
      <c r="E42" s="42">
        <f>E40*E41%</f>
        <v>84</v>
      </c>
      <c r="F42" s="42">
        <f t="shared" ref="F42:H42" si="2">F40*F41%</f>
        <v>84</v>
      </c>
      <c r="G42" s="42">
        <f t="shared" si="2"/>
        <v>45</v>
      </c>
      <c r="H42" s="42">
        <f t="shared" si="2"/>
        <v>45</v>
      </c>
    </row>
    <row r="43" spans="3:22" x14ac:dyDescent="0.3">
      <c r="C43" s="15" t="s">
        <v>794</v>
      </c>
      <c r="D43" s="15" t="s">
        <v>168</v>
      </c>
      <c r="E43" s="38">
        <v>2.8</v>
      </c>
      <c r="F43" s="97">
        <f>E43</f>
        <v>2.8</v>
      </c>
      <c r="G43" s="38">
        <v>2.6</v>
      </c>
      <c r="H43" s="97">
        <f t="shared" ref="H43:H46" si="3">G43</f>
        <v>2.6</v>
      </c>
    </row>
    <row r="44" spans="3:22" x14ac:dyDescent="0.3">
      <c r="C44" s="15" t="s">
        <v>795</v>
      </c>
      <c r="D44" s="15" t="s">
        <v>166</v>
      </c>
      <c r="E44" s="97">
        <f>'Model homes'!E23</f>
        <v>4</v>
      </c>
      <c r="F44" s="97">
        <f>'Model homes'!F23</f>
        <v>4</v>
      </c>
      <c r="G44" s="97">
        <f>'Model homes'!G23</f>
        <v>3</v>
      </c>
      <c r="H44" s="97">
        <f>'Model homes'!H23</f>
        <v>3</v>
      </c>
      <c r="J44" s="97" t="s">
        <v>796</v>
      </c>
      <c r="K44" s="103">
        <v>120</v>
      </c>
      <c r="L44" s="15" t="s">
        <v>797</v>
      </c>
    </row>
    <row r="45" spans="3:22" x14ac:dyDescent="0.3">
      <c r="C45" s="15" t="s">
        <v>798</v>
      </c>
      <c r="D45" s="15" t="s">
        <v>573</v>
      </c>
      <c r="E45" s="25">
        <v>150</v>
      </c>
      <c r="F45" s="42">
        <f>E45</f>
        <v>150</v>
      </c>
      <c r="G45" s="25">
        <v>120</v>
      </c>
      <c r="H45" s="42">
        <f t="shared" ref="H45" si="4">G45</f>
        <v>120</v>
      </c>
    </row>
    <row r="46" spans="3:22" x14ac:dyDescent="0.3">
      <c r="C46" s="15" t="s">
        <v>799</v>
      </c>
      <c r="D46" s="15" t="s">
        <v>573</v>
      </c>
      <c r="E46" s="25">
        <v>200</v>
      </c>
      <c r="F46" s="42">
        <f>E46</f>
        <v>200</v>
      </c>
      <c r="G46" s="25">
        <v>150</v>
      </c>
      <c r="H46" s="42">
        <f t="shared" si="3"/>
        <v>150</v>
      </c>
    </row>
    <row r="47" spans="3:22" x14ac:dyDescent="0.3">
      <c r="C47" s="15" t="s">
        <v>800</v>
      </c>
      <c r="D47" s="15" t="s">
        <v>801</v>
      </c>
      <c r="E47" s="42">
        <f>(E39*E42*E43+E44*$K$44+E45+E46)*10^-3</f>
        <v>9.0619999999999994</v>
      </c>
      <c r="F47" s="42">
        <f t="shared" ref="F47:H47" si="5">(F39*F42*F43+F44*$K$44+F45+F46)*10^-3</f>
        <v>7.8860000000000001</v>
      </c>
      <c r="G47" s="42">
        <f t="shared" si="5"/>
        <v>5.3100000000000005</v>
      </c>
      <c r="H47" s="42">
        <f t="shared" si="5"/>
        <v>4.7250000000000005</v>
      </c>
    </row>
    <row r="48" spans="3:22" x14ac:dyDescent="0.3">
      <c r="C48" s="15" t="s">
        <v>802</v>
      </c>
      <c r="D48" s="15"/>
      <c r="E48" s="38">
        <v>8.5</v>
      </c>
      <c r="F48" s="97">
        <f>E48</f>
        <v>8.5</v>
      </c>
      <c r="G48" s="97">
        <f t="shared" ref="G48:H48" si="6">F48</f>
        <v>8.5</v>
      </c>
      <c r="H48" s="97">
        <f t="shared" si="6"/>
        <v>8.5</v>
      </c>
      <c r="K48" s="97" t="s">
        <v>803</v>
      </c>
      <c r="N48" s="6" t="s">
        <v>804</v>
      </c>
      <c r="O48"/>
    </row>
    <row r="49" spans="3:15" x14ac:dyDescent="0.3">
      <c r="C49" s="15" t="s">
        <v>805</v>
      </c>
      <c r="D49" s="15" t="s">
        <v>806</v>
      </c>
      <c r="E49" s="25">
        <v>10</v>
      </c>
      <c r="F49" s="25">
        <v>8</v>
      </c>
      <c r="G49" s="25">
        <v>12</v>
      </c>
      <c r="H49" s="25">
        <v>10</v>
      </c>
    </row>
    <row r="50" spans="3:15" x14ac:dyDescent="0.3">
      <c r="C50" s="15" t="s">
        <v>807</v>
      </c>
      <c r="D50" s="15" t="s">
        <v>808</v>
      </c>
      <c r="E50" s="25">
        <v>35</v>
      </c>
      <c r="F50" s="25">
        <v>30</v>
      </c>
      <c r="G50" s="25">
        <v>40</v>
      </c>
      <c r="H50" s="25">
        <v>30</v>
      </c>
      <c r="N50" s="6" t="s">
        <v>809</v>
      </c>
    </row>
    <row r="51" spans="3:15" x14ac:dyDescent="0.3">
      <c r="C51" s="15" t="s">
        <v>810</v>
      </c>
      <c r="D51" s="15" t="s">
        <v>575</v>
      </c>
      <c r="E51" s="42">
        <f>E49*E50</f>
        <v>350</v>
      </c>
      <c r="F51" s="42">
        <f>F49*F50</f>
        <v>240</v>
      </c>
      <c r="G51" s="42">
        <f>G49*G50</f>
        <v>480</v>
      </c>
      <c r="H51" s="42">
        <f>H49*H50</f>
        <v>300</v>
      </c>
    </row>
    <row r="52" spans="3:15" x14ac:dyDescent="0.3">
      <c r="C52" s="15" t="s">
        <v>811</v>
      </c>
      <c r="D52" s="15" t="s">
        <v>191</v>
      </c>
      <c r="E52" s="42">
        <f>E47*E49*E50/E48</f>
        <v>373.14117647058822</v>
      </c>
      <c r="F52" s="42">
        <f>F47*F49*F50/F48</f>
        <v>222.66352941176473</v>
      </c>
      <c r="G52" s="42">
        <f>G47*G49*G50/G48</f>
        <v>299.85882352941178</v>
      </c>
      <c r="H52" s="42">
        <f>H47*H49*H50/H48</f>
        <v>166.76470588235296</v>
      </c>
    </row>
    <row r="53" spans="3:15" x14ac:dyDescent="0.3">
      <c r="C53" s="15" t="s">
        <v>812</v>
      </c>
      <c r="D53" s="15" t="s">
        <v>180</v>
      </c>
      <c r="E53" s="97">
        <f>E52/E42</f>
        <v>4.4421568627450982</v>
      </c>
      <c r="F53" s="97">
        <f>F52/F42</f>
        <v>2.6507563025210086</v>
      </c>
      <c r="G53" s="97">
        <f>G52/G42</f>
        <v>6.6635294117647064</v>
      </c>
      <c r="H53" s="97">
        <f>H52/H42</f>
        <v>3.7058823529411766</v>
      </c>
      <c r="K53" s="103" t="s">
        <v>746</v>
      </c>
      <c r="N53" s="11" t="s">
        <v>813</v>
      </c>
    </row>
    <row r="54" spans="3:15" x14ac:dyDescent="0.3">
      <c r="C54" s="15"/>
      <c r="D54" s="15"/>
      <c r="E54"/>
      <c r="F54"/>
      <c r="G54"/>
      <c r="H54"/>
    </row>
    <row r="55" spans="3:15" ht="20.25" x14ac:dyDescent="0.35">
      <c r="C55" s="81" t="s">
        <v>814</v>
      </c>
      <c r="D55" s="15"/>
    </row>
    <row r="56" spans="3:15" x14ac:dyDescent="0.3">
      <c r="C56" s="15" t="s">
        <v>815</v>
      </c>
      <c r="D56" s="15" t="s">
        <v>573</v>
      </c>
      <c r="E56" s="25">
        <v>45</v>
      </c>
      <c r="F56" s="42">
        <f>E56</f>
        <v>45</v>
      </c>
      <c r="G56" s="42">
        <f>F56</f>
        <v>45</v>
      </c>
      <c r="H56" s="42">
        <f>G56</f>
        <v>45</v>
      </c>
      <c r="K56" s="103" t="s">
        <v>591</v>
      </c>
      <c r="N56" s="11" t="s">
        <v>816</v>
      </c>
    </row>
    <row r="57" spans="3:15" ht="17.25" thickBot="1" x14ac:dyDescent="0.35"/>
    <row r="58" spans="3:15" ht="17.25" thickTop="1" x14ac:dyDescent="0.3">
      <c r="C58" s="49" t="s">
        <v>113</v>
      </c>
      <c r="D58" s="15"/>
      <c r="E58" s="15"/>
      <c r="F58" s="132"/>
      <c r="J58" s="26"/>
      <c r="K58" s="129"/>
      <c r="L58" s="26"/>
      <c r="M58" s="26"/>
      <c r="N58" s="36"/>
      <c r="O58" s="36"/>
    </row>
    <row r="59" spans="3:15" x14ac:dyDescent="0.3">
      <c r="C59" s="96" t="s">
        <v>817</v>
      </c>
      <c r="D59" s="46" t="s">
        <v>166</v>
      </c>
      <c r="E59" s="131">
        <v>3</v>
      </c>
      <c r="F59" s="42">
        <f>E59</f>
        <v>3</v>
      </c>
      <c r="G59" s="131">
        <v>2</v>
      </c>
      <c r="H59" s="42">
        <f>G59</f>
        <v>2</v>
      </c>
      <c r="J59" s="26"/>
      <c r="K59" s="129"/>
      <c r="L59" s="26"/>
      <c r="M59" s="26"/>
      <c r="N59" s="36"/>
      <c r="O59" s="36"/>
    </row>
    <row r="60" spans="3:15" x14ac:dyDescent="0.3">
      <c r="C60" s="96" t="s">
        <v>818</v>
      </c>
      <c r="D60" s="46" t="s">
        <v>819</v>
      </c>
      <c r="E60" s="131">
        <v>15</v>
      </c>
      <c r="F60" s="42">
        <f>E60</f>
        <v>15</v>
      </c>
      <c r="G60" s="42">
        <f t="shared" ref="G60:H60" si="7">F60</f>
        <v>15</v>
      </c>
      <c r="H60" s="42">
        <f t="shared" si="7"/>
        <v>15</v>
      </c>
      <c r="I60" s="46"/>
      <c r="J60" s="46"/>
      <c r="K60" s="58">
        <v>0.15</v>
      </c>
      <c r="L60" s="26" t="s">
        <v>820</v>
      </c>
      <c r="M60" s="26"/>
      <c r="N60" s="36"/>
      <c r="O60" s="36"/>
    </row>
    <row r="61" spans="3:15" x14ac:dyDescent="0.3">
      <c r="C61" s="96" t="s">
        <v>821</v>
      </c>
      <c r="D61" s="46" t="s">
        <v>575</v>
      </c>
      <c r="E61" s="42">
        <f>E51*E60%</f>
        <v>52.5</v>
      </c>
      <c r="F61" s="42">
        <f t="shared" ref="F61:H61" si="8">F51*F60%</f>
        <v>36</v>
      </c>
      <c r="G61" s="42">
        <f t="shared" si="8"/>
        <v>72</v>
      </c>
      <c r="H61" s="42">
        <f t="shared" si="8"/>
        <v>45</v>
      </c>
      <c r="I61" s="46"/>
      <c r="J61" s="46"/>
      <c r="K61" s="46"/>
      <c r="L61" s="46"/>
      <c r="M61" s="46"/>
      <c r="N61" s="36"/>
      <c r="O61" s="36"/>
    </row>
    <row r="62" spans="3:15" x14ac:dyDescent="0.3">
      <c r="C62" s="96" t="s">
        <v>822</v>
      </c>
      <c r="D62" s="46" t="s">
        <v>191</v>
      </c>
      <c r="E62" s="55">
        <f>E52*E60%-E56*10^-3*E61*E59</f>
        <v>48.883676470588235</v>
      </c>
      <c r="F62" s="55">
        <f t="shared" ref="F62:H62" si="9">F52*F60%-F56*10^-3*F61*F59</f>
        <v>28.539529411764711</v>
      </c>
      <c r="G62" s="55">
        <f t="shared" si="9"/>
        <v>38.498823529411766</v>
      </c>
      <c r="H62" s="55">
        <f t="shared" si="9"/>
        <v>20.964705882352941</v>
      </c>
      <c r="I62" s="46"/>
      <c r="J62" s="46"/>
      <c r="K62" s="46"/>
      <c r="L62" s="46"/>
      <c r="M62" s="46"/>
      <c r="N62" s="36"/>
      <c r="O62" s="36"/>
    </row>
    <row r="64" spans="3:15" ht="20.25" x14ac:dyDescent="0.35">
      <c r="C64" s="81" t="s">
        <v>823</v>
      </c>
      <c r="D64" s="15"/>
    </row>
    <row r="65" spans="2:24" ht="20.25" x14ac:dyDescent="0.35">
      <c r="C65" s="81"/>
      <c r="D65" s="46"/>
    </row>
    <row r="66" spans="2:24" x14ac:dyDescent="0.3">
      <c r="C66" s="232" t="s">
        <v>302</v>
      </c>
      <c r="D66" s="232" t="s">
        <v>301</v>
      </c>
      <c r="E66" s="231">
        <f>'Model homes'!$E169</f>
        <v>0.04</v>
      </c>
      <c r="F66" s="231">
        <f>E66</f>
        <v>0.04</v>
      </c>
      <c r="G66" s="231">
        <f t="shared" ref="G66:H66" si="10">F66</f>
        <v>0.04</v>
      </c>
      <c r="H66" s="231">
        <f t="shared" si="10"/>
        <v>0.04</v>
      </c>
    </row>
    <row r="67" spans="2:24" x14ac:dyDescent="0.3">
      <c r="C67" s="14" t="s">
        <v>824</v>
      </c>
      <c r="D67" s="84" t="s">
        <v>512</v>
      </c>
      <c r="E67" s="25">
        <v>3</v>
      </c>
      <c r="F67" s="91">
        <f>E67</f>
        <v>3</v>
      </c>
      <c r="G67" s="91">
        <f t="shared" ref="G67:H67" si="11">F67</f>
        <v>3</v>
      </c>
      <c r="H67" s="91">
        <f t="shared" si="11"/>
        <v>3</v>
      </c>
      <c r="V67" s="18"/>
      <c r="W67" s="18"/>
      <c r="X67" s="18"/>
    </row>
    <row r="68" spans="2:24" ht="17.25" thickBot="1" x14ac:dyDescent="0.35">
      <c r="C68" s="84"/>
      <c r="D68" s="84"/>
      <c r="M68" s="20"/>
      <c r="N68" s="20"/>
      <c r="O68" s="20"/>
    </row>
    <row r="69" spans="2:24" ht="17.25" thickTop="1" x14ac:dyDescent="0.3">
      <c r="C69" s="49" t="s">
        <v>717</v>
      </c>
      <c r="D69" s="22"/>
      <c r="E69" s="23"/>
      <c r="F69" s="24"/>
    </row>
    <row r="70" spans="2:24" x14ac:dyDescent="0.3">
      <c r="C70" s="20" t="s">
        <v>104</v>
      </c>
      <c r="D70" s="15" t="s">
        <v>188</v>
      </c>
      <c r="E70" s="25">
        <v>10</v>
      </c>
      <c r="F70" s="128" t="s">
        <v>825</v>
      </c>
      <c r="G70" s="42"/>
      <c r="H70" s="42"/>
      <c r="J70" s="26">
        <v>10</v>
      </c>
      <c r="K70" s="26"/>
      <c r="L70" s="26"/>
      <c r="M70" s="26" t="s">
        <v>188</v>
      </c>
    </row>
    <row r="71" spans="2:24" x14ac:dyDescent="0.3">
      <c r="C71" s="14" t="s">
        <v>826</v>
      </c>
      <c r="D71" s="15" t="s">
        <v>188</v>
      </c>
      <c r="E71" s="25">
        <v>15</v>
      </c>
      <c r="F71" s="128" t="s">
        <v>827</v>
      </c>
      <c r="G71" s="42"/>
      <c r="H71" s="42"/>
      <c r="J71" s="26">
        <v>15</v>
      </c>
      <c r="K71" s="26"/>
      <c r="L71" s="26"/>
      <c r="M71" s="26" t="s">
        <v>188</v>
      </c>
    </row>
    <row r="72" spans="2:24" x14ac:dyDescent="0.3">
      <c r="C72" s="15" t="s">
        <v>828</v>
      </c>
      <c r="D72" s="15" t="s">
        <v>188</v>
      </c>
      <c r="E72" s="25">
        <v>40</v>
      </c>
      <c r="F72" s="128" t="s">
        <v>827</v>
      </c>
      <c r="G72" s="42"/>
      <c r="H72" s="26" t="s">
        <v>829</v>
      </c>
      <c r="J72" s="26">
        <v>40</v>
      </c>
      <c r="K72" s="26"/>
      <c r="L72" s="26"/>
      <c r="M72" s="26" t="s">
        <v>188</v>
      </c>
    </row>
    <row r="73" spans="2:24" x14ac:dyDescent="0.3">
      <c r="C73" s="15" t="s">
        <v>830</v>
      </c>
      <c r="D73" s="15" t="s">
        <v>188</v>
      </c>
      <c r="E73" s="25">
        <v>10</v>
      </c>
      <c r="F73" s="128" t="s">
        <v>827</v>
      </c>
      <c r="G73" s="42"/>
      <c r="H73" s="26" t="s">
        <v>831</v>
      </c>
      <c r="J73" s="26">
        <v>10</v>
      </c>
      <c r="K73" s="26"/>
      <c r="L73" s="26"/>
      <c r="M73" s="26" t="s">
        <v>188</v>
      </c>
    </row>
    <row r="74" spans="2:24" x14ac:dyDescent="0.3">
      <c r="C74" s="15" t="s">
        <v>832</v>
      </c>
      <c r="D74" s="15" t="s">
        <v>188</v>
      </c>
      <c r="E74" s="25">
        <v>75</v>
      </c>
      <c r="F74" s="128" t="s">
        <v>833</v>
      </c>
      <c r="G74" s="42"/>
      <c r="H74" s="42"/>
      <c r="J74" s="26">
        <v>75</v>
      </c>
      <c r="K74" s="26"/>
      <c r="L74" s="26"/>
      <c r="M74" s="26" t="s">
        <v>188</v>
      </c>
    </row>
    <row r="75" spans="2:24" x14ac:dyDescent="0.3">
      <c r="C75" s="15" t="s">
        <v>109</v>
      </c>
      <c r="D75" s="15" t="s">
        <v>188</v>
      </c>
      <c r="E75" s="25">
        <v>35</v>
      </c>
      <c r="F75" s="128" t="s">
        <v>834</v>
      </c>
      <c r="G75" s="42"/>
      <c r="H75" s="42"/>
      <c r="J75" s="26">
        <v>25</v>
      </c>
      <c r="K75" s="129" t="s">
        <v>835</v>
      </c>
      <c r="L75" s="26">
        <v>45</v>
      </c>
      <c r="M75" s="26" t="s">
        <v>188</v>
      </c>
    </row>
    <row r="76" spans="2:24" x14ac:dyDescent="0.3">
      <c r="C76" s="15" t="s">
        <v>836</v>
      </c>
      <c r="D76" s="15" t="s">
        <v>188</v>
      </c>
      <c r="E76" s="131">
        <v>30</v>
      </c>
      <c r="F76" s="128" t="s">
        <v>837</v>
      </c>
      <c r="G76" s="55"/>
      <c r="H76" s="55"/>
      <c r="J76" s="26">
        <v>25</v>
      </c>
      <c r="K76" s="129" t="s">
        <v>835</v>
      </c>
      <c r="L76" s="26">
        <v>45</v>
      </c>
      <c r="M76" s="26" t="s">
        <v>188</v>
      </c>
    </row>
    <row r="77" spans="2:24" x14ac:dyDescent="0.3">
      <c r="C77" s="84"/>
      <c r="D77" s="84"/>
      <c r="M77" s="20"/>
      <c r="N77" s="20"/>
      <c r="O77" s="20"/>
    </row>
    <row r="78" spans="2:24" ht="20.25" x14ac:dyDescent="0.35">
      <c r="C78" s="81" t="s">
        <v>518</v>
      </c>
      <c r="D78" s="46"/>
      <c r="E78" s="55"/>
      <c r="F78" s="55"/>
      <c r="G78" s="55"/>
      <c r="H78" s="55"/>
      <c r="J78" s="26"/>
    </row>
    <row r="79" spans="2:24" s="18" customFormat="1" ht="17.25" thickBot="1" x14ac:dyDescent="0.35">
      <c r="B79" s="19" t="s">
        <v>153</v>
      </c>
      <c r="C79" s="19" t="s">
        <v>154</v>
      </c>
      <c r="D79" s="19" t="s">
        <v>32</v>
      </c>
      <c r="E79" s="19" t="s">
        <v>155</v>
      </c>
      <c r="F79" s="19"/>
      <c r="G79" s="19" t="s">
        <v>155</v>
      </c>
      <c r="H79" s="19"/>
      <c r="I79" s="19"/>
      <c r="J79" s="56" t="s">
        <v>156</v>
      </c>
      <c r="K79" s="56"/>
    </row>
    <row r="80" spans="2:24" s="30" customFormat="1" ht="18" thickTop="1" thickBot="1" x14ac:dyDescent="0.35">
      <c r="B80" s="28"/>
      <c r="C80" s="29" t="s">
        <v>157</v>
      </c>
      <c r="D80" s="29"/>
      <c r="E80" s="335" t="s">
        <v>5</v>
      </c>
      <c r="F80" s="335"/>
      <c r="G80" s="335" t="s">
        <v>6</v>
      </c>
      <c r="H80" s="335"/>
      <c r="I80" s="28"/>
      <c r="J80" s="28"/>
      <c r="K80" s="57"/>
      <c r="M80" s="20"/>
    </row>
    <row r="81" spans="2:14" ht="18" thickTop="1" thickBot="1" x14ac:dyDescent="0.35">
      <c r="B81" s="19"/>
      <c r="C81" s="29" t="s">
        <v>158</v>
      </c>
      <c r="D81" s="29"/>
      <c r="E81" s="29" t="s">
        <v>7</v>
      </c>
      <c r="F81" s="29" t="s">
        <v>8</v>
      </c>
      <c r="G81" s="29" t="s">
        <v>7</v>
      </c>
      <c r="H81" s="29" t="s">
        <v>8</v>
      </c>
      <c r="I81" s="19"/>
      <c r="J81" s="19"/>
      <c r="K81" s="56"/>
      <c r="M81" s="82"/>
      <c r="N81" s="82"/>
    </row>
    <row r="82" spans="2:14" ht="17.25" thickTop="1" x14ac:dyDescent="0.3">
      <c r="C82" s="51" t="s">
        <v>724</v>
      </c>
      <c r="E82" s="23"/>
      <c r="F82" s="24"/>
    </row>
    <row r="83" spans="2:14" x14ac:dyDescent="0.3">
      <c r="C83" s="20" t="str">
        <f>C8 &amp; " - " &amp; C70</f>
        <v>Lighting - Switching off light when absent</v>
      </c>
      <c r="D83" s="15" t="s">
        <v>191</v>
      </c>
      <c r="E83" s="42">
        <f>$E70%*E8</f>
        <v>46</v>
      </c>
      <c r="F83" s="42">
        <f>$E70%*F8</f>
        <v>46</v>
      </c>
      <c r="G83" s="42">
        <f>$E70%*G8</f>
        <v>24.642857142857142</v>
      </c>
      <c r="H83" s="42">
        <f>$E70%*H8</f>
        <v>24.642857142857142</v>
      </c>
      <c r="J83" s="205">
        <f>AVERAGE(E83:H83)</f>
        <v>35.321428571428569</v>
      </c>
    </row>
    <row r="84" spans="2:14" x14ac:dyDescent="0.3">
      <c r="C84" s="20" t="str">
        <f>C$16 &amp; " - " &amp; C71</f>
        <v>Washing machine - Washing without prewash</v>
      </c>
      <c r="D84" s="15" t="s">
        <v>191</v>
      </c>
      <c r="E84" s="42">
        <f t="shared" ref="E84:H86" si="12">$E71%*E$16</f>
        <v>21.762</v>
      </c>
      <c r="F84" s="42">
        <f t="shared" si="12"/>
        <v>21.762</v>
      </c>
      <c r="G84" s="42">
        <f t="shared" si="12"/>
        <v>16.3215</v>
      </c>
      <c r="H84" s="42">
        <f t="shared" si="12"/>
        <v>16.3215</v>
      </c>
      <c r="J84" s="205">
        <f t="shared" ref="J84:J89" si="13">AVERAGE(E84:H84)</f>
        <v>19.04175</v>
      </c>
    </row>
    <row r="85" spans="2:14" x14ac:dyDescent="0.3">
      <c r="C85" s="20" t="str">
        <f>C$16 &amp; " - " &amp; C72</f>
        <v>Washing machine - Use eco programs for washing machine</v>
      </c>
      <c r="D85" s="15" t="s">
        <v>191</v>
      </c>
      <c r="E85" s="42">
        <f t="shared" si="12"/>
        <v>58.032000000000011</v>
      </c>
      <c r="F85" s="42">
        <f t="shared" si="12"/>
        <v>58.032000000000011</v>
      </c>
      <c r="G85" s="42">
        <f t="shared" si="12"/>
        <v>43.524000000000001</v>
      </c>
      <c r="H85" s="42">
        <f t="shared" si="12"/>
        <v>43.524000000000001</v>
      </c>
      <c r="J85" s="205">
        <f t="shared" si="13"/>
        <v>50.778000000000006</v>
      </c>
    </row>
    <row r="86" spans="2:14" x14ac:dyDescent="0.3">
      <c r="C86" s="20" t="str">
        <f>C$16 &amp; " - " &amp; C73</f>
        <v>Washing machine - Using detergents allowing to wash laundry at 30 degrees</v>
      </c>
      <c r="D86" s="15" t="s">
        <v>191</v>
      </c>
      <c r="E86" s="42">
        <f t="shared" si="12"/>
        <v>14.508000000000003</v>
      </c>
      <c r="F86" s="42">
        <f t="shared" si="12"/>
        <v>14.508000000000003</v>
      </c>
      <c r="G86" s="42">
        <f t="shared" si="12"/>
        <v>10.881</v>
      </c>
      <c r="H86" s="42">
        <f t="shared" si="12"/>
        <v>10.881</v>
      </c>
      <c r="J86" s="205">
        <f t="shared" si="13"/>
        <v>12.694500000000001</v>
      </c>
    </row>
    <row r="87" spans="2:14" x14ac:dyDescent="0.3">
      <c r="C87" s="20" t="str">
        <f>C$17 &amp; " - " &amp; C74</f>
        <v xml:space="preserve">Tumble dryer - Leave laundry to dry on a clothes horse </v>
      </c>
      <c r="D87" s="15" t="s">
        <v>191</v>
      </c>
      <c r="E87" s="42">
        <f>$E74%*E17</f>
        <v>123.75</v>
      </c>
      <c r="F87" s="42">
        <f>$E74%*F17</f>
        <v>123.75</v>
      </c>
      <c r="G87" s="42">
        <f>$E74%*G17</f>
        <v>92.8125</v>
      </c>
      <c r="H87" s="42">
        <f>$E74%*H17</f>
        <v>92.8125</v>
      </c>
      <c r="J87" s="205">
        <f t="shared" si="13"/>
        <v>108.28125</v>
      </c>
    </row>
    <row r="88" spans="2:14" x14ac:dyDescent="0.3">
      <c r="C88" s="20" t="str">
        <f>C$11 &amp; " - " &amp; C75</f>
        <v>Dish washer - Use eco programs for dish washer</v>
      </c>
      <c r="D88" s="15" t="s">
        <v>191</v>
      </c>
      <c r="E88" s="42">
        <f t="shared" ref="E88:H89" si="14">$E75%*E11</f>
        <v>52.5</v>
      </c>
      <c r="F88" s="42">
        <f t="shared" si="14"/>
        <v>52.5</v>
      </c>
      <c r="G88" s="42">
        <f t="shared" si="14"/>
        <v>39.375</v>
      </c>
      <c r="H88" s="42">
        <f t="shared" si="14"/>
        <v>39.375</v>
      </c>
      <c r="J88" s="205">
        <f t="shared" si="13"/>
        <v>45.9375</v>
      </c>
    </row>
    <row r="89" spans="2:14" x14ac:dyDescent="0.3">
      <c r="C89" s="20" t="str">
        <f>C76</f>
        <v>Standby - behavior change</v>
      </c>
      <c r="D89" s="15" t="s">
        <v>191</v>
      </c>
      <c r="E89" s="42">
        <f t="shared" si="14"/>
        <v>25.5</v>
      </c>
      <c r="F89" s="42">
        <f t="shared" si="14"/>
        <v>25.5</v>
      </c>
      <c r="G89" s="42">
        <f t="shared" si="14"/>
        <v>19.125</v>
      </c>
      <c r="H89" s="42">
        <f t="shared" si="14"/>
        <v>19.125</v>
      </c>
      <c r="J89" s="205">
        <f t="shared" si="13"/>
        <v>22.3125</v>
      </c>
    </row>
    <row r="90" spans="2:14" x14ac:dyDescent="0.3">
      <c r="C90" s="20"/>
      <c r="D90" s="15"/>
      <c r="E90" s="42"/>
      <c r="F90" s="55"/>
      <c r="G90" s="42"/>
      <c r="H90" s="42"/>
      <c r="J90" s="26"/>
    </row>
    <row r="91" spans="2:14" x14ac:dyDescent="0.3">
      <c r="C91" s="51" t="s">
        <v>515</v>
      </c>
      <c r="D91" s="84"/>
      <c r="E91" s="91"/>
      <c r="F91" s="91"/>
      <c r="G91" s="91"/>
      <c r="H91" s="91"/>
    </row>
    <row r="92" spans="2:14" x14ac:dyDescent="0.3">
      <c r="C92" s="20" t="str">
        <f t="shared" ref="C92:C98" si="15">C83</f>
        <v>Lighting - Switching off light when absent</v>
      </c>
      <c r="D92" s="15" t="s">
        <v>299</v>
      </c>
      <c r="E92" s="42" t="e">
        <f>E83*'Model homes'!E$141/100</f>
        <v>#VALUE!</v>
      </c>
      <c r="F92" s="42" t="e">
        <f>F83*'Model homes'!F$141/100</f>
        <v>#VALUE!</v>
      </c>
      <c r="G92" s="42" t="e">
        <f>G83*'Model homes'!G$141/100</f>
        <v>#VALUE!</v>
      </c>
      <c r="H92" s="42" t="e">
        <f>H83*'Model homes'!H$141/100</f>
        <v>#VALUE!</v>
      </c>
      <c r="J92" s="205" t="e">
        <f>AVERAGE(E92:H92)</f>
        <v>#VALUE!</v>
      </c>
    </row>
    <row r="93" spans="2:14" x14ac:dyDescent="0.3">
      <c r="C93" s="20" t="str">
        <f t="shared" si="15"/>
        <v>Washing machine - Washing without prewash</v>
      </c>
      <c r="D93" s="15" t="s">
        <v>299</v>
      </c>
      <c r="E93" s="42" t="e">
        <f>E84*'Model homes'!E$141/100</f>
        <v>#VALUE!</v>
      </c>
      <c r="F93" s="42" t="e">
        <f>F84*'Model homes'!F$141/100</f>
        <v>#VALUE!</v>
      </c>
      <c r="G93" s="42" t="e">
        <f>G84*'Model homes'!G$141/100</f>
        <v>#VALUE!</v>
      </c>
      <c r="H93" s="42" t="e">
        <f>H84*'Model homes'!H$141/100</f>
        <v>#VALUE!</v>
      </c>
      <c r="J93" s="205" t="e">
        <f t="shared" ref="J93:J98" si="16">AVERAGE(E93:H93)</f>
        <v>#VALUE!</v>
      </c>
    </row>
    <row r="94" spans="2:14" x14ac:dyDescent="0.3">
      <c r="C94" s="20" t="str">
        <f t="shared" si="15"/>
        <v>Washing machine - Use eco programs for washing machine</v>
      </c>
      <c r="D94" s="15" t="s">
        <v>299</v>
      </c>
      <c r="E94" s="42" t="e">
        <f>E85*'Model homes'!E$141/100</f>
        <v>#VALUE!</v>
      </c>
      <c r="F94" s="42" t="e">
        <f>F85*'Model homes'!F$141/100</f>
        <v>#VALUE!</v>
      </c>
      <c r="G94" s="42" t="e">
        <f>G85*'Model homes'!G$141/100</f>
        <v>#VALUE!</v>
      </c>
      <c r="H94" s="42" t="e">
        <f>H85*'Model homes'!H$141/100</f>
        <v>#VALUE!</v>
      </c>
      <c r="J94" s="205" t="e">
        <f t="shared" si="16"/>
        <v>#VALUE!</v>
      </c>
    </row>
    <row r="95" spans="2:14" x14ac:dyDescent="0.3">
      <c r="C95" s="20" t="str">
        <f t="shared" si="15"/>
        <v>Washing machine - Using detergents allowing to wash laundry at 30 degrees</v>
      </c>
      <c r="D95" s="15" t="s">
        <v>299</v>
      </c>
      <c r="E95" s="42" t="e">
        <f>E86*'Model homes'!E$141/100</f>
        <v>#VALUE!</v>
      </c>
      <c r="F95" s="42" t="e">
        <f>F86*'Model homes'!F$141/100</f>
        <v>#VALUE!</v>
      </c>
      <c r="G95" s="42" t="e">
        <f>G86*'Model homes'!G$141/100</f>
        <v>#VALUE!</v>
      </c>
      <c r="H95" s="42" t="e">
        <f>H86*'Model homes'!H$141/100</f>
        <v>#VALUE!</v>
      </c>
      <c r="J95" s="205" t="e">
        <f t="shared" si="16"/>
        <v>#VALUE!</v>
      </c>
    </row>
    <row r="96" spans="2:14" x14ac:dyDescent="0.3">
      <c r="C96" s="20" t="str">
        <f t="shared" si="15"/>
        <v xml:space="preserve">Tumble dryer - Leave laundry to dry on a clothes horse </v>
      </c>
      <c r="D96" s="15" t="s">
        <v>299</v>
      </c>
      <c r="E96" s="42" t="e">
        <f>E87*'Model homes'!E$141/100</f>
        <v>#VALUE!</v>
      </c>
      <c r="F96" s="42" t="e">
        <f>F87*'Model homes'!F$141/100</f>
        <v>#VALUE!</v>
      </c>
      <c r="G96" s="42" t="e">
        <f>G87*'Model homes'!G$141/100</f>
        <v>#VALUE!</v>
      </c>
      <c r="H96" s="42" t="e">
        <f>H87*'Model homes'!H$141/100</f>
        <v>#VALUE!</v>
      </c>
      <c r="J96" s="205" t="e">
        <f t="shared" si="16"/>
        <v>#VALUE!</v>
      </c>
    </row>
    <row r="97" spans="3:40" x14ac:dyDescent="0.3">
      <c r="C97" s="20" t="str">
        <f t="shared" si="15"/>
        <v>Dish washer - Use eco programs for dish washer</v>
      </c>
      <c r="D97" s="15" t="s">
        <v>299</v>
      </c>
      <c r="E97" s="42" t="e">
        <f>E88*'Model homes'!E$141/100</f>
        <v>#VALUE!</v>
      </c>
      <c r="F97" s="42" t="e">
        <f>F88*'Model homes'!F$141/100</f>
        <v>#VALUE!</v>
      </c>
      <c r="G97" s="42" t="e">
        <f>G88*'Model homes'!G$141/100</f>
        <v>#VALUE!</v>
      </c>
      <c r="H97" s="42" t="e">
        <f>H88*'Model homes'!H$141/100</f>
        <v>#VALUE!</v>
      </c>
      <c r="J97" s="205" t="e">
        <f t="shared" si="16"/>
        <v>#VALUE!</v>
      </c>
    </row>
    <row r="98" spans="3:40" x14ac:dyDescent="0.3">
      <c r="C98" s="20" t="str">
        <f t="shared" si="15"/>
        <v>Standby - behavior change</v>
      </c>
      <c r="D98" s="15" t="s">
        <v>299</v>
      </c>
      <c r="E98" s="42" t="e">
        <f>E89*'Model homes'!E$141/100</f>
        <v>#VALUE!</v>
      </c>
      <c r="F98" s="42" t="e">
        <f>F89*'Model homes'!F$141/100</f>
        <v>#VALUE!</v>
      </c>
      <c r="G98" s="42" t="e">
        <f>G89*'Model homes'!G$141/100</f>
        <v>#VALUE!</v>
      </c>
      <c r="H98" s="42" t="e">
        <f>H89*'Model homes'!H$141/100</f>
        <v>#VALUE!</v>
      </c>
      <c r="J98" s="205" t="e">
        <f t="shared" si="16"/>
        <v>#VALUE!</v>
      </c>
    </row>
    <row r="99" spans="3:40" x14ac:dyDescent="0.3">
      <c r="R99" s="42"/>
      <c r="S99" s="99"/>
    </row>
    <row r="100" spans="3:40" x14ac:dyDescent="0.3">
      <c r="C100" s="51" t="s">
        <v>517</v>
      </c>
      <c r="D100" s="84"/>
      <c r="E100" s="91"/>
      <c r="F100" s="91"/>
      <c r="G100" s="91"/>
      <c r="H100" s="91"/>
      <c r="J100" s="51" t="s">
        <v>509</v>
      </c>
    </row>
    <row r="101" spans="3:40" x14ac:dyDescent="0.3">
      <c r="C101" s="20" t="str">
        <f t="shared" ref="C101:C107" si="17">C92</f>
        <v>Lighting - Switching off light when absent</v>
      </c>
      <c r="D101" s="15" t="s">
        <v>299</v>
      </c>
      <c r="E101" s="55" t="e">
        <f>-PMT(E$66,E$67,E92*$J101)</f>
        <v>#VALUE!</v>
      </c>
      <c r="F101" s="55" t="e">
        <f t="shared" ref="F101:H101" si="18">-PMT(F$66,F$67,F92*$J101)</f>
        <v>#VALUE!</v>
      </c>
      <c r="G101" s="55" t="e">
        <f t="shared" si="18"/>
        <v>#VALUE!</v>
      </c>
      <c r="H101" s="55" t="e">
        <f t="shared" si="18"/>
        <v>#VALUE!</v>
      </c>
      <c r="J101" s="236">
        <f>(1-(((1+'Model homes'!$E166)/(1+E$66))^E$67))/(E$66-'Model homes'!$E166)</f>
        <v>2.8432103792103223</v>
      </c>
    </row>
    <row r="102" spans="3:40" x14ac:dyDescent="0.3">
      <c r="C102" s="20" t="str">
        <f t="shared" si="17"/>
        <v>Washing machine - Washing without prewash</v>
      </c>
      <c r="D102" s="15" t="s">
        <v>299</v>
      </c>
      <c r="E102" s="55" t="e">
        <f t="shared" ref="E102:H107" si="19">-PMT(E$66,E$67,E93*$J102)</f>
        <v>#VALUE!</v>
      </c>
      <c r="F102" s="55" t="e">
        <f t="shared" si="19"/>
        <v>#VALUE!</v>
      </c>
      <c r="G102" s="55" t="e">
        <f t="shared" si="19"/>
        <v>#VALUE!</v>
      </c>
      <c r="H102" s="55" t="e">
        <f t="shared" si="19"/>
        <v>#VALUE!</v>
      </c>
      <c r="J102" s="63">
        <f>J101</f>
        <v>2.8432103792103223</v>
      </c>
    </row>
    <row r="103" spans="3:40" x14ac:dyDescent="0.3">
      <c r="C103" s="20" t="str">
        <f t="shared" si="17"/>
        <v>Washing machine - Use eco programs for washing machine</v>
      </c>
      <c r="D103" s="15" t="s">
        <v>299</v>
      </c>
      <c r="E103" s="55" t="e">
        <f t="shared" si="19"/>
        <v>#VALUE!</v>
      </c>
      <c r="F103" s="55" t="e">
        <f t="shared" si="19"/>
        <v>#VALUE!</v>
      </c>
      <c r="G103" s="55" t="e">
        <f t="shared" si="19"/>
        <v>#VALUE!</v>
      </c>
      <c r="H103" s="55" t="e">
        <f t="shared" si="19"/>
        <v>#VALUE!</v>
      </c>
      <c r="J103" s="63">
        <f t="shared" ref="J103:J107" si="20">J102</f>
        <v>2.8432103792103223</v>
      </c>
    </row>
    <row r="104" spans="3:40" x14ac:dyDescent="0.3">
      <c r="C104" s="20" t="str">
        <f t="shared" si="17"/>
        <v>Washing machine - Using detergents allowing to wash laundry at 30 degrees</v>
      </c>
      <c r="D104" s="15" t="s">
        <v>299</v>
      </c>
      <c r="E104" s="55" t="e">
        <f t="shared" si="19"/>
        <v>#VALUE!</v>
      </c>
      <c r="F104" s="55" t="e">
        <f t="shared" si="19"/>
        <v>#VALUE!</v>
      </c>
      <c r="G104" s="55" t="e">
        <f t="shared" si="19"/>
        <v>#VALUE!</v>
      </c>
      <c r="H104" s="55" t="e">
        <f t="shared" si="19"/>
        <v>#VALUE!</v>
      </c>
      <c r="J104" s="63">
        <f t="shared" si="20"/>
        <v>2.8432103792103223</v>
      </c>
    </row>
    <row r="105" spans="3:40" x14ac:dyDescent="0.3">
      <c r="C105" s="20" t="str">
        <f t="shared" si="17"/>
        <v xml:space="preserve">Tumble dryer - Leave laundry to dry on a clothes horse </v>
      </c>
      <c r="D105" s="15" t="s">
        <v>299</v>
      </c>
      <c r="E105" s="55" t="e">
        <f t="shared" si="19"/>
        <v>#VALUE!</v>
      </c>
      <c r="F105" s="55" t="e">
        <f t="shared" si="19"/>
        <v>#VALUE!</v>
      </c>
      <c r="G105" s="55" t="e">
        <f t="shared" si="19"/>
        <v>#VALUE!</v>
      </c>
      <c r="H105" s="55" t="e">
        <f t="shared" si="19"/>
        <v>#VALUE!</v>
      </c>
      <c r="J105" s="63">
        <f t="shared" si="20"/>
        <v>2.8432103792103223</v>
      </c>
    </row>
    <row r="106" spans="3:40" x14ac:dyDescent="0.3">
      <c r="C106" s="20" t="str">
        <f t="shared" si="17"/>
        <v>Dish washer - Use eco programs for dish washer</v>
      </c>
      <c r="D106" s="15" t="s">
        <v>299</v>
      </c>
      <c r="E106" s="55" t="e">
        <f t="shared" si="19"/>
        <v>#VALUE!</v>
      </c>
      <c r="F106" s="55" t="e">
        <f t="shared" si="19"/>
        <v>#VALUE!</v>
      </c>
      <c r="G106" s="55" t="e">
        <f t="shared" si="19"/>
        <v>#VALUE!</v>
      </c>
      <c r="H106" s="55" t="e">
        <f t="shared" si="19"/>
        <v>#VALUE!</v>
      </c>
      <c r="J106" s="63">
        <f t="shared" si="20"/>
        <v>2.8432103792103223</v>
      </c>
    </row>
    <row r="107" spans="3:40" ht="15.95" customHeight="1" x14ac:dyDescent="0.3">
      <c r="C107" s="20" t="str">
        <f t="shared" si="17"/>
        <v>Standby - behavior change</v>
      </c>
      <c r="D107" s="15" t="s">
        <v>299</v>
      </c>
      <c r="E107" s="55" t="e">
        <f t="shared" si="19"/>
        <v>#VALUE!</v>
      </c>
      <c r="F107" s="55" t="e">
        <f t="shared" si="19"/>
        <v>#VALUE!</v>
      </c>
      <c r="G107" s="55" t="e">
        <f t="shared" si="19"/>
        <v>#VALUE!</v>
      </c>
      <c r="H107" s="55" t="e">
        <f t="shared" si="19"/>
        <v>#VALUE!</v>
      </c>
      <c r="J107" s="63">
        <f t="shared" si="20"/>
        <v>2.8432103792103223</v>
      </c>
    </row>
    <row r="108" spans="3:40" x14ac:dyDescent="0.3">
      <c r="C108" s="20"/>
      <c r="D108" s="15"/>
      <c r="E108" s="42"/>
      <c r="F108" s="55"/>
      <c r="G108" s="42"/>
      <c r="H108" s="42"/>
      <c r="J108" s="26"/>
    </row>
    <row r="109" spans="3:40" x14ac:dyDescent="0.3">
      <c r="C109" s="51" t="s">
        <v>522</v>
      </c>
      <c r="D109" s="84"/>
      <c r="E109" s="90"/>
      <c r="F109" s="90"/>
      <c r="G109" s="90"/>
      <c r="H109" s="90"/>
      <c r="J109" s="51" t="s">
        <v>523</v>
      </c>
      <c r="R109" s="51" t="s">
        <v>524</v>
      </c>
      <c r="Z109" s="51" t="s">
        <v>525</v>
      </c>
      <c r="AH109" s="51" t="s">
        <v>526</v>
      </c>
    </row>
    <row r="110" spans="3:40" ht="29.25" x14ac:dyDescent="0.3">
      <c r="C110" s="20" t="str">
        <f t="shared" ref="C110:C116" si="21">C92</f>
        <v>Lighting - Switching off light when absent</v>
      </c>
      <c r="D110" s="84" t="s">
        <v>527</v>
      </c>
      <c r="E110" s="130" t="e">
        <f>E83*'Model homes'!$J$117*10^-6</f>
        <v>#N/A</v>
      </c>
      <c r="F110" s="130" t="e">
        <f>F83*'Model homes'!$J$117*10^-6</f>
        <v>#N/A</v>
      </c>
      <c r="G110" s="130" t="e">
        <f>G83*'Model homes'!$J$117*10^-6</f>
        <v>#N/A</v>
      </c>
      <c r="H110" s="130" t="e">
        <f>H83*'Model homes'!$J$117*10^-6</f>
        <v>#N/A</v>
      </c>
      <c r="J110" s="213" t="s">
        <v>21</v>
      </c>
      <c r="L110" s="207" t="s">
        <v>528</v>
      </c>
      <c r="M110" s="130" t="e">
        <f>'Model homes'!$E$281*E92*10^-6</f>
        <v>#DIV/0!</v>
      </c>
      <c r="N110" s="130" t="e">
        <f>'Model homes'!$E$281*F92*10^-6</f>
        <v>#DIV/0!</v>
      </c>
      <c r="O110" s="130" t="e">
        <f>'Model homes'!$E$281*G92*10^-6</f>
        <v>#DIV/0!</v>
      </c>
      <c r="P110" s="130" t="e">
        <f>'Model homes'!$E$281*H92*10^-6</f>
        <v>#DIV/0!</v>
      </c>
      <c r="R110" s="213" t="s">
        <v>21</v>
      </c>
      <c r="T110" s="207" t="s">
        <v>529</v>
      </c>
      <c r="U110" s="130" t="e">
        <f>'Model homes'!$F$281*E83*10^-6</f>
        <v>#DIV/0!</v>
      </c>
      <c r="V110" s="130" t="e">
        <f>'Model homes'!$F$281*F83*10^-6</f>
        <v>#DIV/0!</v>
      </c>
      <c r="W110" s="130" t="e">
        <f>'Model homes'!$F$281*G83*10^-6</f>
        <v>#DIV/0!</v>
      </c>
      <c r="X110" s="130" t="e">
        <f>'Model homes'!$F$281*H83*10^-6</f>
        <v>#DIV/0!</v>
      </c>
      <c r="Z110" s="213" t="s">
        <v>21</v>
      </c>
      <c r="AB110" s="207" t="s">
        <v>530</v>
      </c>
      <c r="AC110" s="130" t="e">
        <f>'Model homes'!$G$281*E83*10^-6</f>
        <v>#DIV/0!</v>
      </c>
      <c r="AD110" s="130" t="e">
        <f>'Model homes'!$G$281*F83*10^-6</f>
        <v>#DIV/0!</v>
      </c>
      <c r="AE110" s="130" t="e">
        <f>'Model homes'!$G$281*G83*10^-6</f>
        <v>#DIV/0!</v>
      </c>
      <c r="AF110" s="130" t="e">
        <f>'Model homes'!$G$281*H83*10^-6</f>
        <v>#DIV/0!</v>
      </c>
      <c r="AH110" s="213" t="s">
        <v>21</v>
      </c>
      <c r="AJ110" s="207" t="s">
        <v>531</v>
      </c>
      <c r="AK110" s="130" t="e">
        <f>'Model homes'!$H$281*E83*10^-6</f>
        <v>#DIV/0!</v>
      </c>
      <c r="AL110" s="130" t="e">
        <f>'Model homes'!$H$281*F83*10^-6</f>
        <v>#DIV/0!</v>
      </c>
      <c r="AM110" s="130" t="e">
        <f>'Model homes'!$H$281*G83*10^-6</f>
        <v>#DIV/0!</v>
      </c>
      <c r="AN110" s="130" t="e">
        <f>'Model homes'!$H$281*H83*10^-6</f>
        <v>#DIV/0!</v>
      </c>
    </row>
    <row r="111" spans="3:40" ht="29.25" x14ac:dyDescent="0.3">
      <c r="C111" s="20" t="str">
        <f t="shared" si="21"/>
        <v>Washing machine - Washing without prewash</v>
      </c>
      <c r="D111" s="84" t="s">
        <v>527</v>
      </c>
      <c r="E111" s="130" t="e">
        <f>E84*'Model homes'!$J$117*10^-6</f>
        <v>#N/A</v>
      </c>
      <c r="F111" s="130" t="e">
        <f>F84*'Model homes'!$J$117*10^-6</f>
        <v>#N/A</v>
      </c>
      <c r="G111" s="130" t="e">
        <f>G84*'Model homes'!$J$117*10^-6</f>
        <v>#N/A</v>
      </c>
      <c r="H111" s="130" t="e">
        <f>H84*'Model homes'!$J$117*10^-6</f>
        <v>#N/A</v>
      </c>
      <c r="L111" s="207" t="s">
        <v>528</v>
      </c>
      <c r="M111" s="130" t="e">
        <f>'Model homes'!$E$281*E93*10^-6</f>
        <v>#DIV/0!</v>
      </c>
      <c r="N111" s="130" t="e">
        <f>'Model homes'!$E$281*F93*10^-6</f>
        <v>#DIV/0!</v>
      </c>
      <c r="O111" s="130" t="e">
        <f>'Model homes'!$E$281*G93*10^-6</f>
        <v>#DIV/0!</v>
      </c>
      <c r="P111" s="130" t="e">
        <f>'Model homes'!$E$281*H93*10^-6</f>
        <v>#DIV/0!</v>
      </c>
      <c r="R111" s="26"/>
      <c r="T111" s="207" t="s">
        <v>529</v>
      </c>
      <c r="U111" s="130" t="e">
        <f>'Model homes'!$F$281*E84*10^-6</f>
        <v>#DIV/0!</v>
      </c>
      <c r="V111" s="130" t="e">
        <f>'Model homes'!$F$281*F84*10^-6</f>
        <v>#DIV/0!</v>
      </c>
      <c r="W111" s="130" t="e">
        <f>'Model homes'!$F$281*G84*10^-6</f>
        <v>#DIV/0!</v>
      </c>
      <c r="X111" s="130" t="e">
        <f>'Model homes'!$F$281*H84*10^-6</f>
        <v>#DIV/0!</v>
      </c>
      <c r="AB111" s="207" t="s">
        <v>530</v>
      </c>
      <c r="AC111" s="130" t="e">
        <f>'Model homes'!$G$281*E84*10^-6</f>
        <v>#DIV/0!</v>
      </c>
      <c r="AD111" s="130" t="e">
        <f>'Model homes'!$G$281*F84*10^-6</f>
        <v>#DIV/0!</v>
      </c>
      <c r="AE111" s="130" t="e">
        <f>'Model homes'!$G$281*G84*10^-6</f>
        <v>#DIV/0!</v>
      </c>
      <c r="AF111" s="130" t="e">
        <f>'Model homes'!$G$281*H84*10^-6</f>
        <v>#DIV/0!</v>
      </c>
      <c r="AJ111" s="207" t="s">
        <v>531</v>
      </c>
      <c r="AK111" s="130" t="e">
        <f>'Model homes'!$H$281*E84*10^-6</f>
        <v>#DIV/0!</v>
      </c>
      <c r="AL111" s="130" t="e">
        <f>'Model homes'!$H$281*F84*10^-6</f>
        <v>#DIV/0!</v>
      </c>
      <c r="AM111" s="130" t="e">
        <f>'Model homes'!$H$281*G84*10^-6</f>
        <v>#DIV/0!</v>
      </c>
      <c r="AN111" s="130" t="e">
        <f>'Model homes'!$H$281*H84*10^-6</f>
        <v>#DIV/0!</v>
      </c>
    </row>
    <row r="112" spans="3:40" ht="29.25" x14ac:dyDescent="0.3">
      <c r="C112" s="20" t="str">
        <f t="shared" si="21"/>
        <v>Washing machine - Use eco programs for washing machine</v>
      </c>
      <c r="D112" s="84" t="s">
        <v>527</v>
      </c>
      <c r="E112" s="130" t="e">
        <f>E85*'Model homes'!$J$117*10^-6</f>
        <v>#N/A</v>
      </c>
      <c r="F112" s="130" t="e">
        <f>F85*'Model homes'!$J$117*10^-6</f>
        <v>#N/A</v>
      </c>
      <c r="G112" s="130" t="e">
        <f>G85*'Model homes'!$J$117*10^-6</f>
        <v>#N/A</v>
      </c>
      <c r="H112" s="130" t="e">
        <f>H85*'Model homes'!$J$117*10^-6</f>
        <v>#N/A</v>
      </c>
      <c r="L112" s="207" t="s">
        <v>528</v>
      </c>
      <c r="M112" s="130" t="e">
        <f>'Model homes'!$E$281*E94*10^-6</f>
        <v>#DIV/0!</v>
      </c>
      <c r="N112" s="130" t="e">
        <f>'Model homes'!$E$281*F94*10^-6</f>
        <v>#DIV/0!</v>
      </c>
      <c r="O112" s="130" t="e">
        <f>'Model homes'!$E$281*G94*10^-6</f>
        <v>#DIV/0!</v>
      </c>
      <c r="P112" s="130" t="e">
        <f>'Model homes'!$E$281*H94*10^-6</f>
        <v>#DIV/0!</v>
      </c>
      <c r="R112" s="26"/>
      <c r="T112" s="207" t="s">
        <v>529</v>
      </c>
      <c r="U112" s="130" t="e">
        <f>'Model homes'!$F$281*E85*10^-6</f>
        <v>#DIV/0!</v>
      </c>
      <c r="V112" s="130" t="e">
        <f>'Model homes'!$F$281*F85*10^-6</f>
        <v>#DIV/0!</v>
      </c>
      <c r="W112" s="130" t="e">
        <f>'Model homes'!$F$281*G85*10^-6</f>
        <v>#DIV/0!</v>
      </c>
      <c r="X112" s="130" t="e">
        <f>'Model homes'!$F$281*H85*10^-6</f>
        <v>#DIV/0!</v>
      </c>
      <c r="AB112" s="207" t="s">
        <v>530</v>
      </c>
      <c r="AC112" s="130" t="e">
        <f>'Model homes'!$G$281*E85*10^-6</f>
        <v>#DIV/0!</v>
      </c>
      <c r="AD112" s="130" t="e">
        <f>'Model homes'!$G$281*F85*10^-6</f>
        <v>#DIV/0!</v>
      </c>
      <c r="AE112" s="130" t="e">
        <f>'Model homes'!$G$281*G85*10^-6</f>
        <v>#DIV/0!</v>
      </c>
      <c r="AF112" s="130" t="e">
        <f>'Model homes'!$G$281*H85*10^-6</f>
        <v>#DIV/0!</v>
      </c>
      <c r="AJ112" s="207" t="s">
        <v>531</v>
      </c>
      <c r="AK112" s="130" t="e">
        <f>'Model homes'!$H$281*E85*10^-6</f>
        <v>#DIV/0!</v>
      </c>
      <c r="AL112" s="130" t="e">
        <f>'Model homes'!$H$281*F85*10^-6</f>
        <v>#DIV/0!</v>
      </c>
      <c r="AM112" s="130" t="e">
        <f>'Model homes'!$H$281*G85*10^-6</f>
        <v>#DIV/0!</v>
      </c>
      <c r="AN112" s="130" t="e">
        <f>'Model homes'!$H$281*H85*10^-6</f>
        <v>#DIV/0!</v>
      </c>
    </row>
    <row r="113" spans="3:40" ht="29.25" x14ac:dyDescent="0.3">
      <c r="C113" s="20" t="str">
        <f t="shared" si="21"/>
        <v>Washing machine - Using detergents allowing to wash laundry at 30 degrees</v>
      </c>
      <c r="D113" s="84" t="s">
        <v>527</v>
      </c>
      <c r="E113" s="130" t="e">
        <f>E86*'Model homes'!$J$117*10^-6</f>
        <v>#N/A</v>
      </c>
      <c r="F113" s="130" t="e">
        <f>F86*'Model homes'!$J$117*10^-6</f>
        <v>#N/A</v>
      </c>
      <c r="G113" s="130" t="e">
        <f>G86*'Model homes'!$J$117*10^-6</f>
        <v>#N/A</v>
      </c>
      <c r="H113" s="130" t="e">
        <f>H86*'Model homes'!$J$117*10^-6</f>
        <v>#N/A</v>
      </c>
      <c r="L113" s="207" t="s">
        <v>528</v>
      </c>
      <c r="M113" s="130" t="e">
        <f>'Model homes'!$E$281*E95*10^-6</f>
        <v>#DIV/0!</v>
      </c>
      <c r="N113" s="130" t="e">
        <f>'Model homes'!$E$281*F95*10^-6</f>
        <v>#DIV/0!</v>
      </c>
      <c r="O113" s="130" t="e">
        <f>'Model homes'!$E$281*G95*10^-6</f>
        <v>#DIV/0!</v>
      </c>
      <c r="P113" s="130" t="e">
        <f>'Model homes'!$E$281*H95*10^-6</f>
        <v>#DIV/0!</v>
      </c>
      <c r="R113" s="26"/>
      <c r="T113" s="207" t="s">
        <v>529</v>
      </c>
      <c r="U113" s="130" t="e">
        <f>'Model homes'!$F$281*E86*10^-6</f>
        <v>#DIV/0!</v>
      </c>
      <c r="V113" s="130" t="e">
        <f>'Model homes'!$F$281*F86*10^-6</f>
        <v>#DIV/0!</v>
      </c>
      <c r="W113" s="130" t="e">
        <f>'Model homes'!$F$281*G86*10^-6</f>
        <v>#DIV/0!</v>
      </c>
      <c r="X113" s="130" t="e">
        <f>'Model homes'!$F$281*H86*10^-6</f>
        <v>#DIV/0!</v>
      </c>
      <c r="AB113" s="207" t="s">
        <v>530</v>
      </c>
      <c r="AC113" s="130" t="e">
        <f>'Model homes'!$G$281*E86*10^-6</f>
        <v>#DIV/0!</v>
      </c>
      <c r="AD113" s="130" t="e">
        <f>'Model homes'!$G$281*F86*10^-6</f>
        <v>#DIV/0!</v>
      </c>
      <c r="AE113" s="130" t="e">
        <f>'Model homes'!$G$281*G86*10^-6</f>
        <v>#DIV/0!</v>
      </c>
      <c r="AF113" s="130" t="e">
        <f>'Model homes'!$G$281*H86*10^-6</f>
        <v>#DIV/0!</v>
      </c>
      <c r="AJ113" s="207" t="s">
        <v>531</v>
      </c>
      <c r="AK113" s="130" t="e">
        <f>'Model homes'!$H$281*E86*10^-6</f>
        <v>#DIV/0!</v>
      </c>
      <c r="AL113" s="130" t="e">
        <f>'Model homes'!$H$281*F86*10^-6</f>
        <v>#DIV/0!</v>
      </c>
      <c r="AM113" s="130" t="e">
        <f>'Model homes'!$H$281*G86*10^-6</f>
        <v>#DIV/0!</v>
      </c>
      <c r="AN113" s="130" t="e">
        <f>'Model homes'!$H$281*H86*10^-6</f>
        <v>#DIV/0!</v>
      </c>
    </row>
    <row r="114" spans="3:40" ht="29.25" x14ac:dyDescent="0.3">
      <c r="C114" s="20" t="str">
        <f t="shared" si="21"/>
        <v xml:space="preserve">Tumble dryer - Leave laundry to dry on a clothes horse </v>
      </c>
      <c r="D114" s="84" t="s">
        <v>527</v>
      </c>
      <c r="E114" s="130" t="e">
        <f>E87*'Model homes'!$J$117*10^-6</f>
        <v>#N/A</v>
      </c>
      <c r="F114" s="130" t="e">
        <f>F87*'Model homes'!$J$117*10^-6</f>
        <v>#N/A</v>
      </c>
      <c r="G114" s="130" t="e">
        <f>G87*'Model homes'!$J$117*10^-6</f>
        <v>#N/A</v>
      </c>
      <c r="H114" s="130" t="e">
        <f>H87*'Model homes'!$J$117*10^-6</f>
        <v>#N/A</v>
      </c>
      <c r="L114" s="207" t="s">
        <v>528</v>
      </c>
      <c r="M114" s="130" t="e">
        <f>'Model homes'!$E$281*E96*10^-6</f>
        <v>#DIV/0!</v>
      </c>
      <c r="N114" s="130" t="e">
        <f>'Model homes'!$E$281*F96*10^-6</f>
        <v>#DIV/0!</v>
      </c>
      <c r="O114" s="130" t="e">
        <f>'Model homes'!$E$281*G96*10^-6</f>
        <v>#DIV/0!</v>
      </c>
      <c r="P114" s="130" t="e">
        <f>'Model homes'!$E$281*H96*10^-6</f>
        <v>#DIV/0!</v>
      </c>
      <c r="R114" s="26"/>
      <c r="T114" s="207" t="s">
        <v>529</v>
      </c>
      <c r="U114" s="130" t="e">
        <f>'Model homes'!$F$281*E87*10^-6</f>
        <v>#DIV/0!</v>
      </c>
      <c r="V114" s="130" t="e">
        <f>'Model homes'!$F$281*F87*10^-6</f>
        <v>#DIV/0!</v>
      </c>
      <c r="W114" s="130" t="e">
        <f>'Model homes'!$F$281*G87*10^-6</f>
        <v>#DIV/0!</v>
      </c>
      <c r="X114" s="130" t="e">
        <f>'Model homes'!$F$281*H87*10^-6</f>
        <v>#DIV/0!</v>
      </c>
      <c r="AB114" s="207" t="s">
        <v>530</v>
      </c>
      <c r="AC114" s="130" t="e">
        <f>'Model homes'!$G$281*E87*10^-6</f>
        <v>#DIV/0!</v>
      </c>
      <c r="AD114" s="130" t="e">
        <f>'Model homes'!$G$281*F87*10^-6</f>
        <v>#DIV/0!</v>
      </c>
      <c r="AE114" s="130" t="e">
        <f>'Model homes'!$G$281*G87*10^-6</f>
        <v>#DIV/0!</v>
      </c>
      <c r="AF114" s="130" t="e">
        <f>'Model homes'!$G$281*H87*10^-6</f>
        <v>#DIV/0!</v>
      </c>
      <c r="AJ114" s="207" t="s">
        <v>531</v>
      </c>
      <c r="AK114" s="130" t="e">
        <f>'Model homes'!$H$281*E87*10^-6</f>
        <v>#DIV/0!</v>
      </c>
      <c r="AL114" s="130" t="e">
        <f>'Model homes'!$H$281*F87*10^-6</f>
        <v>#DIV/0!</v>
      </c>
      <c r="AM114" s="130" t="e">
        <f>'Model homes'!$H$281*G87*10^-6</f>
        <v>#DIV/0!</v>
      </c>
      <c r="AN114" s="130" t="e">
        <f>'Model homes'!$H$281*H87*10^-6</f>
        <v>#DIV/0!</v>
      </c>
    </row>
    <row r="115" spans="3:40" ht="29.25" x14ac:dyDescent="0.3">
      <c r="C115" s="20" t="str">
        <f t="shared" si="21"/>
        <v>Dish washer - Use eco programs for dish washer</v>
      </c>
      <c r="D115" s="84" t="s">
        <v>527</v>
      </c>
      <c r="E115" s="130" t="e">
        <f>E88*'Model homes'!$J$117*10^-6</f>
        <v>#N/A</v>
      </c>
      <c r="F115" s="130" t="e">
        <f>F88*'Model homes'!$J$117*10^-6</f>
        <v>#N/A</v>
      </c>
      <c r="G115" s="130" t="e">
        <f>G88*'Model homes'!$J$117*10^-6</f>
        <v>#N/A</v>
      </c>
      <c r="H115" s="130" t="e">
        <f>H88*'Model homes'!$J$117*10^-6</f>
        <v>#N/A</v>
      </c>
      <c r="L115" s="207" t="s">
        <v>528</v>
      </c>
      <c r="M115" s="130" t="e">
        <f>'Model homes'!$E$281*E97*10^-6</f>
        <v>#DIV/0!</v>
      </c>
      <c r="N115" s="130" t="e">
        <f>'Model homes'!$E$281*F97*10^-6</f>
        <v>#DIV/0!</v>
      </c>
      <c r="O115" s="130" t="e">
        <f>'Model homes'!$E$281*G97*10^-6</f>
        <v>#DIV/0!</v>
      </c>
      <c r="P115" s="130" t="e">
        <f>'Model homes'!$E$281*H97*10^-6</f>
        <v>#DIV/0!</v>
      </c>
      <c r="R115" s="26"/>
      <c r="T115" s="207" t="s">
        <v>529</v>
      </c>
      <c r="U115" s="130" t="e">
        <f>'Model homes'!$F$281*E88*10^-6</f>
        <v>#DIV/0!</v>
      </c>
      <c r="V115" s="130" t="e">
        <f>'Model homes'!$F$281*F88*10^-6</f>
        <v>#DIV/0!</v>
      </c>
      <c r="W115" s="130" t="e">
        <f>'Model homes'!$F$281*G88*10^-6</f>
        <v>#DIV/0!</v>
      </c>
      <c r="X115" s="130" t="e">
        <f>'Model homes'!$F$281*H88*10^-6</f>
        <v>#DIV/0!</v>
      </c>
      <c r="AB115" s="207" t="s">
        <v>530</v>
      </c>
      <c r="AC115" s="130" t="e">
        <f>'Model homes'!$G$281*E88*10^-6</f>
        <v>#DIV/0!</v>
      </c>
      <c r="AD115" s="130" t="e">
        <f>'Model homes'!$G$281*F88*10^-6</f>
        <v>#DIV/0!</v>
      </c>
      <c r="AE115" s="130" t="e">
        <f>'Model homes'!$G$281*G88*10^-6</f>
        <v>#DIV/0!</v>
      </c>
      <c r="AF115" s="130" t="e">
        <f>'Model homes'!$G$281*H88*10^-6</f>
        <v>#DIV/0!</v>
      </c>
      <c r="AJ115" s="207" t="s">
        <v>531</v>
      </c>
      <c r="AK115" s="130" t="e">
        <f>'Model homes'!$H$281*E88*10^-6</f>
        <v>#DIV/0!</v>
      </c>
      <c r="AL115" s="130" t="e">
        <f>'Model homes'!$H$281*F88*10^-6</f>
        <v>#DIV/0!</v>
      </c>
      <c r="AM115" s="130" t="e">
        <f>'Model homes'!$H$281*G88*10^-6</f>
        <v>#DIV/0!</v>
      </c>
      <c r="AN115" s="130" t="e">
        <f>'Model homes'!$H$281*H88*10^-6</f>
        <v>#DIV/0!</v>
      </c>
    </row>
    <row r="116" spans="3:40" ht="29.25" x14ac:dyDescent="0.3">
      <c r="C116" s="20" t="str">
        <f t="shared" si="21"/>
        <v>Standby - behavior change</v>
      </c>
      <c r="D116" s="84" t="s">
        <v>527</v>
      </c>
      <c r="E116" s="130" t="e">
        <f>E89*'Model homes'!$J$117*10^-6</f>
        <v>#N/A</v>
      </c>
      <c r="F116" s="130" t="e">
        <f>F89*'Model homes'!$J$117*10^-6</f>
        <v>#N/A</v>
      </c>
      <c r="G116" s="130" t="e">
        <f>G89*'Model homes'!$J$117*10^-6</f>
        <v>#N/A</v>
      </c>
      <c r="H116" s="130" t="e">
        <f>H89*'Model homes'!$J$117*10^-6</f>
        <v>#N/A</v>
      </c>
      <c r="L116" s="207" t="s">
        <v>528</v>
      </c>
      <c r="M116" s="130" t="e">
        <f>'Model homes'!$E$281*E98*10^-6</f>
        <v>#DIV/0!</v>
      </c>
      <c r="N116" s="130" t="e">
        <f>'Model homes'!$E$281*F98*10^-6</f>
        <v>#DIV/0!</v>
      </c>
      <c r="O116" s="130" t="e">
        <f>'Model homes'!$E$281*G98*10^-6</f>
        <v>#DIV/0!</v>
      </c>
      <c r="P116" s="130" t="e">
        <f>'Model homes'!$E$281*H98*10^-6</f>
        <v>#DIV/0!</v>
      </c>
      <c r="R116" s="26"/>
      <c r="T116" s="207" t="s">
        <v>529</v>
      </c>
      <c r="U116" s="130" t="e">
        <f>'Model homes'!$F$281*E89*10^-6</f>
        <v>#DIV/0!</v>
      </c>
      <c r="V116" s="130" t="e">
        <f>'Model homes'!$F$281*F89*10^-6</f>
        <v>#DIV/0!</v>
      </c>
      <c r="W116" s="130" t="e">
        <f>'Model homes'!$F$281*G89*10^-6</f>
        <v>#DIV/0!</v>
      </c>
      <c r="X116" s="130" t="e">
        <f>'Model homes'!$F$281*H89*10^-6</f>
        <v>#DIV/0!</v>
      </c>
      <c r="AB116" s="207" t="s">
        <v>530</v>
      </c>
      <c r="AC116" s="130" t="e">
        <f>'Model homes'!$G$281*E89*10^-6</f>
        <v>#DIV/0!</v>
      </c>
      <c r="AD116" s="130" t="e">
        <f>'Model homes'!$G$281*F89*10^-6</f>
        <v>#DIV/0!</v>
      </c>
      <c r="AE116" s="130" t="e">
        <f>'Model homes'!$G$281*G89*10^-6</f>
        <v>#DIV/0!</v>
      </c>
      <c r="AF116" s="130" t="e">
        <f>'Model homes'!$G$281*H89*10^-6</f>
        <v>#DIV/0!</v>
      </c>
      <c r="AJ116" s="207" t="s">
        <v>531</v>
      </c>
      <c r="AK116" s="130" t="e">
        <f>'Model homes'!$H$281*E89*10^-6</f>
        <v>#DIV/0!</v>
      </c>
      <c r="AL116" s="130" t="e">
        <f>'Model homes'!$H$281*F89*10^-6</f>
        <v>#DIV/0!</v>
      </c>
      <c r="AM116" s="130" t="e">
        <f>'Model homes'!$H$281*G89*10^-6</f>
        <v>#DIV/0!</v>
      </c>
      <c r="AN116" s="130" t="e">
        <f>'Model homes'!$H$281*H89*10^-6</f>
        <v>#DIV/0!</v>
      </c>
    </row>
    <row r="117" spans="3:40" x14ac:dyDescent="0.3">
      <c r="R117" s="26"/>
    </row>
    <row r="118" spans="3:40" x14ac:dyDescent="0.3">
      <c r="C118" s="51" t="s">
        <v>313</v>
      </c>
      <c r="E118" s="106"/>
      <c r="J118" s="51" t="s">
        <v>532</v>
      </c>
      <c r="R118" s="51" t="s">
        <v>533</v>
      </c>
      <c r="Z118" s="51" t="s">
        <v>534</v>
      </c>
      <c r="AH118" s="51" t="s">
        <v>535</v>
      </c>
    </row>
    <row r="119" spans="3:40" x14ac:dyDescent="0.3">
      <c r="C119" s="20" t="str">
        <f t="shared" ref="C119:C125" si="22">C110</f>
        <v>Lighting - Switching off light when absent</v>
      </c>
      <c r="D119" s="84" t="s">
        <v>536</v>
      </c>
      <c r="E119" s="42" t="e">
        <f>LOOKUP(E$67,'Model homes'!$C$203:$C$227,'Model homes'!$F$203:$F$227)*E110</f>
        <v>#N/A</v>
      </c>
      <c r="F119" s="42" t="e">
        <f>LOOKUP(F$67,'Model homes'!$C$203:$C$227,'Model homes'!$F$203:$F$227)*F110</f>
        <v>#N/A</v>
      </c>
      <c r="G119" s="42" t="e">
        <f>LOOKUP(G$67,'Model homes'!$C$203:$C$227,'Model homes'!$F$203:$F$227)*G110</f>
        <v>#N/A</v>
      </c>
      <c r="H119" s="42" t="e">
        <f>LOOKUP(H$67,'Model homes'!$C$203:$C$227,'Model homes'!$F$203:$F$227)*H110</f>
        <v>#N/A</v>
      </c>
      <c r="J119" s="213" t="s">
        <v>21</v>
      </c>
      <c r="L119" s="207" t="s">
        <v>536</v>
      </c>
      <c r="M119" s="159" t="e">
        <f>LOOKUP(E$67,'Model homes'!$C$351:$C$375,'Model homes'!$E$351:$E$375)*M110</f>
        <v>#DIV/0!</v>
      </c>
      <c r="N119" s="159" t="e">
        <f>LOOKUP(F$67,'Model homes'!$C$351:$C$375,'Model homes'!$E$351:$E$375)*N110</f>
        <v>#DIV/0!</v>
      </c>
      <c r="O119" s="159" t="e">
        <f>LOOKUP(G$67,'Model homes'!$C$351:$C$375,'Model homes'!$E$351:$E$375)*O110</f>
        <v>#DIV/0!</v>
      </c>
      <c r="P119" s="159" t="e">
        <f>LOOKUP(H$67,'Model homes'!$C$351:$C$375,'Model homes'!$E$351:$E$375)*P110</f>
        <v>#DIV/0!</v>
      </c>
      <c r="R119" s="213" t="s">
        <v>21</v>
      </c>
      <c r="T119" s="207" t="s">
        <v>536</v>
      </c>
      <c r="U119" s="159" t="e">
        <f>LOOKUP(E$67,'Model homes'!$C$351:$C$375,'Model homes'!$F$351:$F$375)*U110</f>
        <v>#DIV/0!</v>
      </c>
      <c r="V119" s="159" t="e">
        <f>LOOKUP(F$67,'Model homes'!$C$351:$C$375,'Model homes'!$F$351:$F$375)*V110</f>
        <v>#DIV/0!</v>
      </c>
      <c r="W119" s="159" t="e">
        <f>LOOKUP(G$67,'Model homes'!$C$351:$C$375,'Model homes'!$F$351:$F$375)*W110</f>
        <v>#DIV/0!</v>
      </c>
      <c r="X119" s="159" t="e">
        <f>LOOKUP(H$67,'Model homes'!$C$351:$C$375,'Model homes'!$F$351:$F$375)*X110</f>
        <v>#DIV/0!</v>
      </c>
      <c r="Z119" s="213" t="s">
        <v>21</v>
      </c>
      <c r="AB119" s="207" t="s">
        <v>536</v>
      </c>
      <c r="AC119" s="159" t="e">
        <f>LOOKUP(E$67,'Model homes'!$C$351:$C$375,'Model homes'!$G$351:$G$375)*AC110</f>
        <v>#DIV/0!</v>
      </c>
      <c r="AD119" s="159" t="e">
        <f>LOOKUP(F$67,'Model homes'!$C$351:$C$375,'Model homes'!$G$351:$G$375)*AD110</f>
        <v>#DIV/0!</v>
      </c>
      <c r="AE119" s="159" t="e">
        <f>LOOKUP(G$67,'Model homes'!$C$351:$C$375,'Model homes'!$G$351:$G$375)*AE110</f>
        <v>#DIV/0!</v>
      </c>
      <c r="AF119" s="159" t="e">
        <f>LOOKUP(H$67,'Model homes'!$C$351:$C$375,'Model homes'!$G$351:$G$375)*AF110</f>
        <v>#DIV/0!</v>
      </c>
      <c r="AH119" s="213" t="s">
        <v>21</v>
      </c>
      <c r="AJ119" s="207" t="s">
        <v>536</v>
      </c>
      <c r="AK119" s="159" t="e">
        <f>LOOKUP(E$67,'Model homes'!$C$351:$C$375,'Model homes'!$H$351:$H$375)*AK110</f>
        <v>#DIV/0!</v>
      </c>
      <c r="AL119" s="159" t="e">
        <f>LOOKUP(F$67,'Model homes'!$C$351:$C$375,'Model homes'!$H$351:$H$375)*AL110</f>
        <v>#DIV/0!</v>
      </c>
      <c r="AM119" s="159" t="e">
        <f>LOOKUP(G$67,'Model homes'!$C$351:$C$375,'Model homes'!$H$351:$H$375)*AM110</f>
        <v>#DIV/0!</v>
      </c>
      <c r="AN119" s="159" t="e">
        <f>LOOKUP(H$67,'Model homes'!$C$351:$C$375,'Model homes'!$H$351:$H$375)*AN110</f>
        <v>#DIV/0!</v>
      </c>
    </row>
    <row r="120" spans="3:40" x14ac:dyDescent="0.3">
      <c r="C120" s="20" t="str">
        <f t="shared" si="22"/>
        <v>Washing machine - Washing without prewash</v>
      </c>
      <c r="D120" s="84" t="s">
        <v>536</v>
      </c>
      <c r="E120" s="42" t="e">
        <f>LOOKUP(E$67,'Model homes'!$C$203:$C$227,'Model homes'!$F$203:$F$227)*E111</f>
        <v>#N/A</v>
      </c>
      <c r="F120" s="42" t="e">
        <f>LOOKUP(F$67,'Model homes'!$C$203:$C$227,'Model homes'!$F$203:$F$227)*F111</f>
        <v>#N/A</v>
      </c>
      <c r="G120" s="42" t="e">
        <f>LOOKUP(G$67,'Model homes'!$C$203:$C$227,'Model homes'!$F$203:$F$227)*G111</f>
        <v>#N/A</v>
      </c>
      <c r="H120" s="42" t="e">
        <f>LOOKUP(H$67,'Model homes'!$C$203:$C$227,'Model homes'!$F$203:$F$227)*H111</f>
        <v>#N/A</v>
      </c>
      <c r="L120" s="207" t="s">
        <v>536</v>
      </c>
      <c r="M120" s="159" t="e">
        <f>LOOKUP(E$67,'Model homes'!$C$351:$C$375,'Model homes'!$E$351:$E$375)*M111</f>
        <v>#DIV/0!</v>
      </c>
      <c r="N120" s="159" t="e">
        <f>LOOKUP(F$67,'Model homes'!$C$351:$C$375,'Model homes'!$E$351:$E$375)*N111</f>
        <v>#DIV/0!</v>
      </c>
      <c r="O120" s="159" t="e">
        <f>LOOKUP(G$67,'Model homes'!$C$351:$C$375,'Model homes'!$E$351:$E$375)*O111</f>
        <v>#DIV/0!</v>
      </c>
      <c r="P120" s="159" t="e">
        <f>LOOKUP(H$67,'Model homes'!$C$351:$C$375,'Model homes'!$E$351:$E$375)*P111</f>
        <v>#DIV/0!</v>
      </c>
      <c r="R120" s="26"/>
      <c r="T120" s="207" t="s">
        <v>536</v>
      </c>
      <c r="U120" s="159" t="e">
        <f>LOOKUP(E$67,'Model homes'!$C$351:$C$375,'Model homes'!$F$351:$F$375)*U111</f>
        <v>#DIV/0!</v>
      </c>
      <c r="V120" s="159" t="e">
        <f>LOOKUP(F$67,'Model homes'!$C$351:$C$375,'Model homes'!$F$351:$F$375)*V111</f>
        <v>#DIV/0!</v>
      </c>
      <c r="W120" s="159" t="e">
        <f>LOOKUP(G$67,'Model homes'!$C$351:$C$375,'Model homes'!$F$351:$F$375)*W111</f>
        <v>#DIV/0!</v>
      </c>
      <c r="X120" s="159" t="e">
        <f>LOOKUP(H$67,'Model homes'!$C$351:$C$375,'Model homes'!$F$351:$F$375)*X111</f>
        <v>#DIV/0!</v>
      </c>
      <c r="AB120" s="207" t="s">
        <v>536</v>
      </c>
      <c r="AC120" s="159" t="e">
        <f>LOOKUP(E$67,'Model homes'!$C$351:$C$375,'Model homes'!$G$351:$G$375)*AC111</f>
        <v>#DIV/0!</v>
      </c>
      <c r="AD120" s="159" t="e">
        <f>LOOKUP(F$67,'Model homes'!$C$351:$C$375,'Model homes'!$G$351:$G$375)*AD111</f>
        <v>#DIV/0!</v>
      </c>
      <c r="AE120" s="159" t="e">
        <f>LOOKUP(G$67,'Model homes'!$C$351:$C$375,'Model homes'!$G$351:$G$375)*AE111</f>
        <v>#DIV/0!</v>
      </c>
      <c r="AF120" s="159" t="e">
        <f>LOOKUP(H$67,'Model homes'!$C$351:$C$375,'Model homes'!$G$351:$G$375)*AF111</f>
        <v>#DIV/0!</v>
      </c>
      <c r="AJ120" s="207" t="s">
        <v>536</v>
      </c>
      <c r="AK120" s="159" t="e">
        <f>LOOKUP(E$67,'Model homes'!$C$351:$C$375,'Model homes'!$H$351:$H$375)*AK111</f>
        <v>#DIV/0!</v>
      </c>
      <c r="AL120" s="159" t="e">
        <f>LOOKUP(F$67,'Model homes'!$C$351:$C$375,'Model homes'!$H$351:$H$375)*AL111</f>
        <v>#DIV/0!</v>
      </c>
      <c r="AM120" s="159" t="e">
        <f>LOOKUP(G$67,'Model homes'!$C$351:$C$375,'Model homes'!$H$351:$H$375)*AM111</f>
        <v>#DIV/0!</v>
      </c>
      <c r="AN120" s="159" t="e">
        <f>LOOKUP(H$67,'Model homes'!$C$351:$C$375,'Model homes'!$H$351:$H$375)*AN111</f>
        <v>#DIV/0!</v>
      </c>
    </row>
    <row r="121" spans="3:40" x14ac:dyDescent="0.3">
      <c r="C121" s="20" t="str">
        <f t="shared" si="22"/>
        <v>Washing machine - Use eco programs for washing machine</v>
      </c>
      <c r="D121" s="84" t="s">
        <v>536</v>
      </c>
      <c r="E121" s="42" t="e">
        <f>LOOKUP(E$67,'Model homes'!$C$203:$C$227,'Model homes'!$F$203:$F$227)*E112</f>
        <v>#N/A</v>
      </c>
      <c r="F121" s="42" t="e">
        <f>LOOKUP(F$67,'Model homes'!$C$203:$C$227,'Model homes'!$F$203:$F$227)*F112</f>
        <v>#N/A</v>
      </c>
      <c r="G121" s="42" t="e">
        <f>LOOKUP(G$67,'Model homes'!$C$203:$C$227,'Model homes'!$F$203:$F$227)*G112</f>
        <v>#N/A</v>
      </c>
      <c r="H121" s="42" t="e">
        <f>LOOKUP(H$67,'Model homes'!$C$203:$C$227,'Model homes'!$F$203:$F$227)*H112</f>
        <v>#N/A</v>
      </c>
      <c r="L121" s="207" t="s">
        <v>536</v>
      </c>
      <c r="M121" s="159" t="e">
        <f>LOOKUP(E$67,'Model homes'!$C$351:$C$375,'Model homes'!$E$351:$E$375)*M112</f>
        <v>#DIV/0!</v>
      </c>
      <c r="N121" s="159" t="e">
        <f>LOOKUP(F$67,'Model homes'!$C$351:$C$375,'Model homes'!$E$351:$E$375)*N112</f>
        <v>#DIV/0!</v>
      </c>
      <c r="O121" s="159" t="e">
        <f>LOOKUP(G$67,'Model homes'!$C$351:$C$375,'Model homes'!$E$351:$E$375)*O112</f>
        <v>#DIV/0!</v>
      </c>
      <c r="P121" s="159" t="e">
        <f>LOOKUP(H$67,'Model homes'!$C$351:$C$375,'Model homes'!$E$351:$E$375)*P112</f>
        <v>#DIV/0!</v>
      </c>
      <c r="R121" s="26"/>
      <c r="T121" s="207" t="s">
        <v>536</v>
      </c>
      <c r="U121" s="159" t="e">
        <f>LOOKUP(E$67,'Model homes'!$C$351:$C$375,'Model homes'!$F$351:$F$375)*U112</f>
        <v>#DIV/0!</v>
      </c>
      <c r="V121" s="159" t="e">
        <f>LOOKUP(F$67,'Model homes'!$C$351:$C$375,'Model homes'!$F$351:$F$375)*V112</f>
        <v>#DIV/0!</v>
      </c>
      <c r="W121" s="159" t="e">
        <f>LOOKUP(G$67,'Model homes'!$C$351:$C$375,'Model homes'!$F$351:$F$375)*W112</f>
        <v>#DIV/0!</v>
      </c>
      <c r="X121" s="159" t="e">
        <f>LOOKUP(H$67,'Model homes'!$C$351:$C$375,'Model homes'!$F$351:$F$375)*X112</f>
        <v>#DIV/0!</v>
      </c>
      <c r="AB121" s="207" t="s">
        <v>536</v>
      </c>
      <c r="AC121" s="159" t="e">
        <f>LOOKUP(E$67,'Model homes'!$C$351:$C$375,'Model homes'!$G$351:$G$375)*AC112</f>
        <v>#DIV/0!</v>
      </c>
      <c r="AD121" s="159" t="e">
        <f>LOOKUP(F$67,'Model homes'!$C$351:$C$375,'Model homes'!$G$351:$G$375)*AD112</f>
        <v>#DIV/0!</v>
      </c>
      <c r="AE121" s="159" t="e">
        <f>LOOKUP(G$67,'Model homes'!$C$351:$C$375,'Model homes'!$G$351:$G$375)*AE112</f>
        <v>#DIV/0!</v>
      </c>
      <c r="AF121" s="159" t="e">
        <f>LOOKUP(H$67,'Model homes'!$C$351:$C$375,'Model homes'!$G$351:$G$375)*AF112</f>
        <v>#DIV/0!</v>
      </c>
      <c r="AJ121" s="207" t="s">
        <v>536</v>
      </c>
      <c r="AK121" s="159" t="e">
        <f>LOOKUP(E$67,'Model homes'!$C$351:$C$375,'Model homes'!$H$351:$H$375)*AK112</f>
        <v>#DIV/0!</v>
      </c>
      <c r="AL121" s="159" t="e">
        <f>LOOKUP(F$67,'Model homes'!$C$351:$C$375,'Model homes'!$H$351:$H$375)*AL112</f>
        <v>#DIV/0!</v>
      </c>
      <c r="AM121" s="159" t="e">
        <f>LOOKUP(G$67,'Model homes'!$C$351:$C$375,'Model homes'!$H$351:$H$375)*AM112</f>
        <v>#DIV/0!</v>
      </c>
      <c r="AN121" s="159" t="e">
        <f>LOOKUP(H$67,'Model homes'!$C$351:$C$375,'Model homes'!$H$351:$H$375)*AN112</f>
        <v>#DIV/0!</v>
      </c>
    </row>
    <row r="122" spans="3:40" x14ac:dyDescent="0.3">
      <c r="C122" s="20" t="str">
        <f t="shared" si="22"/>
        <v>Washing machine - Using detergents allowing to wash laundry at 30 degrees</v>
      </c>
      <c r="D122" s="84" t="s">
        <v>536</v>
      </c>
      <c r="E122" s="42" t="e">
        <f>LOOKUP(E$67,'Model homes'!$C$203:$C$227,'Model homes'!$F$203:$F$227)*E113</f>
        <v>#N/A</v>
      </c>
      <c r="F122" s="42" t="e">
        <f>LOOKUP(F$67,'Model homes'!$C$203:$C$227,'Model homes'!$F$203:$F$227)*F113</f>
        <v>#N/A</v>
      </c>
      <c r="G122" s="42" t="e">
        <f>LOOKUP(G$67,'Model homes'!$C$203:$C$227,'Model homes'!$F$203:$F$227)*G113</f>
        <v>#N/A</v>
      </c>
      <c r="H122" s="42" t="e">
        <f>LOOKUP(H$67,'Model homes'!$C$203:$C$227,'Model homes'!$F$203:$F$227)*H113</f>
        <v>#N/A</v>
      </c>
      <c r="L122" s="207" t="s">
        <v>536</v>
      </c>
      <c r="M122" s="159" t="e">
        <f>LOOKUP(E$67,'Model homes'!$C$351:$C$375,'Model homes'!$E$351:$E$375)*M113</f>
        <v>#DIV/0!</v>
      </c>
      <c r="N122" s="159" t="e">
        <f>LOOKUP(F$67,'Model homes'!$C$351:$C$375,'Model homes'!$E$351:$E$375)*N113</f>
        <v>#DIV/0!</v>
      </c>
      <c r="O122" s="159" t="e">
        <f>LOOKUP(G$67,'Model homes'!$C$351:$C$375,'Model homes'!$E$351:$E$375)*O113</f>
        <v>#DIV/0!</v>
      </c>
      <c r="P122" s="159" t="e">
        <f>LOOKUP(H$67,'Model homes'!$C$351:$C$375,'Model homes'!$E$351:$E$375)*P113</f>
        <v>#DIV/0!</v>
      </c>
      <c r="R122" s="26"/>
      <c r="T122" s="207" t="s">
        <v>536</v>
      </c>
      <c r="U122" s="159" t="e">
        <f>LOOKUP(E$67,'Model homes'!$C$351:$C$375,'Model homes'!$F$351:$F$375)*U113</f>
        <v>#DIV/0!</v>
      </c>
      <c r="V122" s="159" t="e">
        <f>LOOKUP(F$67,'Model homes'!$C$351:$C$375,'Model homes'!$F$351:$F$375)*V113</f>
        <v>#DIV/0!</v>
      </c>
      <c r="W122" s="159" t="e">
        <f>LOOKUP(G$67,'Model homes'!$C$351:$C$375,'Model homes'!$F$351:$F$375)*W113</f>
        <v>#DIV/0!</v>
      </c>
      <c r="X122" s="159" t="e">
        <f>LOOKUP(H$67,'Model homes'!$C$351:$C$375,'Model homes'!$F$351:$F$375)*X113</f>
        <v>#DIV/0!</v>
      </c>
      <c r="AB122" s="207" t="s">
        <v>536</v>
      </c>
      <c r="AC122" s="159" t="e">
        <f>LOOKUP(E$67,'Model homes'!$C$351:$C$375,'Model homes'!$G$351:$G$375)*AC113</f>
        <v>#DIV/0!</v>
      </c>
      <c r="AD122" s="159" t="e">
        <f>LOOKUP(F$67,'Model homes'!$C$351:$C$375,'Model homes'!$G$351:$G$375)*AD113</f>
        <v>#DIV/0!</v>
      </c>
      <c r="AE122" s="159" t="e">
        <f>LOOKUP(G$67,'Model homes'!$C$351:$C$375,'Model homes'!$G$351:$G$375)*AE113</f>
        <v>#DIV/0!</v>
      </c>
      <c r="AF122" s="159" t="e">
        <f>LOOKUP(H$67,'Model homes'!$C$351:$C$375,'Model homes'!$G$351:$G$375)*AF113</f>
        <v>#DIV/0!</v>
      </c>
      <c r="AJ122" s="207" t="s">
        <v>536</v>
      </c>
      <c r="AK122" s="159" t="e">
        <f>LOOKUP(E$67,'Model homes'!$C$351:$C$375,'Model homes'!$H$351:$H$375)*AK113</f>
        <v>#DIV/0!</v>
      </c>
      <c r="AL122" s="159" t="e">
        <f>LOOKUP(F$67,'Model homes'!$C$351:$C$375,'Model homes'!$H$351:$H$375)*AL113</f>
        <v>#DIV/0!</v>
      </c>
      <c r="AM122" s="159" t="e">
        <f>LOOKUP(G$67,'Model homes'!$C$351:$C$375,'Model homes'!$H$351:$H$375)*AM113</f>
        <v>#DIV/0!</v>
      </c>
      <c r="AN122" s="159" t="e">
        <f>LOOKUP(H$67,'Model homes'!$C$351:$C$375,'Model homes'!$H$351:$H$375)*AN113</f>
        <v>#DIV/0!</v>
      </c>
    </row>
    <row r="123" spans="3:40" x14ac:dyDescent="0.3">
      <c r="C123" s="20" t="str">
        <f t="shared" si="22"/>
        <v xml:space="preserve">Tumble dryer - Leave laundry to dry on a clothes horse </v>
      </c>
      <c r="D123" s="84" t="s">
        <v>536</v>
      </c>
      <c r="E123" s="42" t="e">
        <f>LOOKUP(E$67,'Model homes'!$C$203:$C$227,'Model homes'!$F$203:$F$227)*E114</f>
        <v>#N/A</v>
      </c>
      <c r="F123" s="42" t="e">
        <f>LOOKUP(F$67,'Model homes'!$C$203:$C$227,'Model homes'!$F$203:$F$227)*F114</f>
        <v>#N/A</v>
      </c>
      <c r="G123" s="42" t="e">
        <f>LOOKUP(G$67,'Model homes'!$C$203:$C$227,'Model homes'!$F$203:$F$227)*G114</f>
        <v>#N/A</v>
      </c>
      <c r="H123" s="42" t="e">
        <f>LOOKUP(H$67,'Model homes'!$C$203:$C$227,'Model homes'!$F$203:$F$227)*H114</f>
        <v>#N/A</v>
      </c>
      <c r="L123" s="207" t="s">
        <v>536</v>
      </c>
      <c r="M123" s="159" t="e">
        <f>LOOKUP(E$67,'Model homes'!$C$351:$C$375,'Model homes'!$E$351:$E$375)*M114</f>
        <v>#DIV/0!</v>
      </c>
      <c r="N123" s="159" t="e">
        <f>LOOKUP(F$67,'Model homes'!$C$351:$C$375,'Model homes'!$E$351:$E$375)*N114</f>
        <v>#DIV/0!</v>
      </c>
      <c r="O123" s="159" t="e">
        <f>LOOKUP(G$67,'Model homes'!$C$351:$C$375,'Model homes'!$E$351:$E$375)*O114</f>
        <v>#DIV/0!</v>
      </c>
      <c r="P123" s="159" t="e">
        <f>LOOKUP(H$67,'Model homes'!$C$351:$C$375,'Model homes'!$E$351:$E$375)*P114</f>
        <v>#DIV/0!</v>
      </c>
      <c r="R123" s="26"/>
      <c r="T123" s="207" t="s">
        <v>536</v>
      </c>
      <c r="U123" s="159" t="e">
        <f>LOOKUP(E$67,'Model homes'!$C$351:$C$375,'Model homes'!$F$351:$F$375)*U114</f>
        <v>#DIV/0!</v>
      </c>
      <c r="V123" s="159" t="e">
        <f>LOOKUP(F$67,'Model homes'!$C$351:$C$375,'Model homes'!$F$351:$F$375)*V114</f>
        <v>#DIV/0!</v>
      </c>
      <c r="W123" s="159" t="e">
        <f>LOOKUP(G$67,'Model homes'!$C$351:$C$375,'Model homes'!$F$351:$F$375)*W114</f>
        <v>#DIV/0!</v>
      </c>
      <c r="X123" s="159" t="e">
        <f>LOOKUP(H$67,'Model homes'!$C$351:$C$375,'Model homes'!$F$351:$F$375)*X114</f>
        <v>#DIV/0!</v>
      </c>
      <c r="AB123" s="207" t="s">
        <v>536</v>
      </c>
      <c r="AC123" s="159" t="e">
        <f>LOOKUP(E$67,'Model homes'!$C$351:$C$375,'Model homes'!$G$351:$G$375)*AC114</f>
        <v>#DIV/0!</v>
      </c>
      <c r="AD123" s="159" t="e">
        <f>LOOKUP(F$67,'Model homes'!$C$351:$C$375,'Model homes'!$G$351:$G$375)*AD114</f>
        <v>#DIV/0!</v>
      </c>
      <c r="AE123" s="159" t="e">
        <f>LOOKUP(G$67,'Model homes'!$C$351:$C$375,'Model homes'!$G$351:$G$375)*AE114</f>
        <v>#DIV/0!</v>
      </c>
      <c r="AF123" s="159" t="e">
        <f>LOOKUP(H$67,'Model homes'!$C$351:$C$375,'Model homes'!$G$351:$G$375)*AF114</f>
        <v>#DIV/0!</v>
      </c>
      <c r="AJ123" s="207" t="s">
        <v>536</v>
      </c>
      <c r="AK123" s="159" t="e">
        <f>LOOKUP(E$67,'Model homes'!$C$351:$C$375,'Model homes'!$H$351:$H$375)*AK114</f>
        <v>#DIV/0!</v>
      </c>
      <c r="AL123" s="159" t="e">
        <f>LOOKUP(F$67,'Model homes'!$C$351:$C$375,'Model homes'!$H$351:$H$375)*AL114</f>
        <v>#DIV/0!</v>
      </c>
      <c r="AM123" s="159" t="e">
        <f>LOOKUP(G$67,'Model homes'!$C$351:$C$375,'Model homes'!$H$351:$H$375)*AM114</f>
        <v>#DIV/0!</v>
      </c>
      <c r="AN123" s="159" t="e">
        <f>LOOKUP(H$67,'Model homes'!$C$351:$C$375,'Model homes'!$H$351:$H$375)*AN114</f>
        <v>#DIV/0!</v>
      </c>
    </row>
    <row r="124" spans="3:40" x14ac:dyDescent="0.3">
      <c r="C124" s="20" t="str">
        <f t="shared" si="22"/>
        <v>Dish washer - Use eco programs for dish washer</v>
      </c>
      <c r="D124" s="84" t="s">
        <v>536</v>
      </c>
      <c r="E124" s="42" t="e">
        <f>LOOKUP(E$67,'Model homes'!$C$203:$C$227,'Model homes'!$F$203:$F$227)*E115</f>
        <v>#N/A</v>
      </c>
      <c r="F124" s="42" t="e">
        <f>LOOKUP(F$67,'Model homes'!$C$203:$C$227,'Model homes'!$F$203:$F$227)*F115</f>
        <v>#N/A</v>
      </c>
      <c r="G124" s="42" t="e">
        <f>LOOKUP(G$67,'Model homes'!$C$203:$C$227,'Model homes'!$F$203:$F$227)*G115</f>
        <v>#N/A</v>
      </c>
      <c r="H124" s="42" t="e">
        <f>LOOKUP(H$67,'Model homes'!$C$203:$C$227,'Model homes'!$F$203:$F$227)*H115</f>
        <v>#N/A</v>
      </c>
      <c r="L124" s="207" t="s">
        <v>536</v>
      </c>
      <c r="M124" s="159" t="e">
        <f>LOOKUP(E$67,'Model homes'!$C$351:$C$375,'Model homes'!$E$351:$E$375)*M115</f>
        <v>#DIV/0!</v>
      </c>
      <c r="N124" s="159" t="e">
        <f>LOOKUP(F$67,'Model homes'!$C$351:$C$375,'Model homes'!$E$351:$E$375)*N115</f>
        <v>#DIV/0!</v>
      </c>
      <c r="O124" s="159" t="e">
        <f>LOOKUP(G$67,'Model homes'!$C$351:$C$375,'Model homes'!$E$351:$E$375)*O115</f>
        <v>#DIV/0!</v>
      </c>
      <c r="P124" s="159" t="e">
        <f>LOOKUP(H$67,'Model homes'!$C$351:$C$375,'Model homes'!$E$351:$E$375)*P115</f>
        <v>#DIV/0!</v>
      </c>
      <c r="R124" s="26"/>
      <c r="T124" s="207" t="s">
        <v>536</v>
      </c>
      <c r="U124" s="159" t="e">
        <f>LOOKUP(E$67,'Model homes'!$C$351:$C$375,'Model homes'!$F$351:$F$375)*U115</f>
        <v>#DIV/0!</v>
      </c>
      <c r="V124" s="159" t="e">
        <f>LOOKUP(F$67,'Model homes'!$C$351:$C$375,'Model homes'!$F$351:$F$375)*V115</f>
        <v>#DIV/0!</v>
      </c>
      <c r="W124" s="159" t="e">
        <f>LOOKUP(G$67,'Model homes'!$C$351:$C$375,'Model homes'!$F$351:$F$375)*W115</f>
        <v>#DIV/0!</v>
      </c>
      <c r="X124" s="159" t="e">
        <f>LOOKUP(H$67,'Model homes'!$C$351:$C$375,'Model homes'!$F$351:$F$375)*X115</f>
        <v>#DIV/0!</v>
      </c>
      <c r="Z124" s="42"/>
      <c r="AA124" s="99"/>
      <c r="AB124" s="207" t="s">
        <v>536</v>
      </c>
      <c r="AC124" s="159" t="e">
        <f>LOOKUP(E$67,'Model homes'!$C$351:$C$375,'Model homes'!$G$351:$G$375)*AC115</f>
        <v>#DIV/0!</v>
      </c>
      <c r="AD124" s="159" t="e">
        <f>LOOKUP(F$67,'Model homes'!$C$351:$C$375,'Model homes'!$G$351:$G$375)*AD115</f>
        <v>#DIV/0!</v>
      </c>
      <c r="AE124" s="159" t="e">
        <f>LOOKUP(G$67,'Model homes'!$C$351:$C$375,'Model homes'!$G$351:$G$375)*AE115</f>
        <v>#DIV/0!</v>
      </c>
      <c r="AF124" s="159" t="e">
        <f>LOOKUP(H$67,'Model homes'!$C$351:$C$375,'Model homes'!$G$351:$G$375)*AF115</f>
        <v>#DIV/0!</v>
      </c>
      <c r="AJ124" s="207" t="s">
        <v>536</v>
      </c>
      <c r="AK124" s="159" t="e">
        <f>LOOKUP(E$67,'Model homes'!$C$351:$C$375,'Model homes'!$H$351:$H$375)*AK115</f>
        <v>#DIV/0!</v>
      </c>
      <c r="AL124" s="159" t="e">
        <f>LOOKUP(F$67,'Model homes'!$C$351:$C$375,'Model homes'!$H$351:$H$375)*AL115</f>
        <v>#DIV/0!</v>
      </c>
      <c r="AM124" s="159" t="e">
        <f>LOOKUP(G$67,'Model homes'!$C$351:$C$375,'Model homes'!$H$351:$H$375)*AM115</f>
        <v>#DIV/0!</v>
      </c>
      <c r="AN124" s="159" t="e">
        <f>LOOKUP(H$67,'Model homes'!$C$351:$C$375,'Model homes'!$H$351:$H$375)*AN115</f>
        <v>#DIV/0!</v>
      </c>
    </row>
    <row r="125" spans="3:40" x14ac:dyDescent="0.3">
      <c r="C125" s="20" t="str">
        <f t="shared" si="22"/>
        <v>Standby - behavior change</v>
      </c>
      <c r="D125" s="84" t="s">
        <v>536</v>
      </c>
      <c r="E125" s="42" t="e">
        <f>LOOKUP(E$67,'Model homes'!$C$203:$C$227,'Model homes'!$F$203:$F$227)*E116</f>
        <v>#N/A</v>
      </c>
      <c r="F125" s="42" t="e">
        <f>LOOKUP(F$67,'Model homes'!$C$203:$C$227,'Model homes'!$F$203:$F$227)*F116</f>
        <v>#N/A</v>
      </c>
      <c r="G125" s="42" t="e">
        <f>LOOKUP(G$67,'Model homes'!$C$203:$C$227,'Model homes'!$F$203:$F$227)*G116</f>
        <v>#N/A</v>
      </c>
      <c r="H125" s="42" t="e">
        <f>LOOKUP(H$67,'Model homes'!$C$203:$C$227,'Model homes'!$F$203:$F$227)*H116</f>
        <v>#N/A</v>
      </c>
      <c r="L125" s="207" t="s">
        <v>536</v>
      </c>
      <c r="M125" s="159" t="e">
        <f>LOOKUP(E$67,'Model homes'!$C$351:$C$375,'Model homes'!$E$351:$E$375)*M116</f>
        <v>#DIV/0!</v>
      </c>
      <c r="N125" s="159" t="e">
        <f>LOOKUP(F$67,'Model homes'!$C$351:$C$375,'Model homes'!$E$351:$E$375)*N116</f>
        <v>#DIV/0!</v>
      </c>
      <c r="O125" s="159" t="e">
        <f>LOOKUP(G$67,'Model homes'!$C$351:$C$375,'Model homes'!$E$351:$E$375)*O116</f>
        <v>#DIV/0!</v>
      </c>
      <c r="P125" s="159" t="e">
        <f>LOOKUP(H$67,'Model homes'!$C$351:$C$375,'Model homes'!$E$351:$E$375)*P116</f>
        <v>#DIV/0!</v>
      </c>
      <c r="R125" s="26"/>
      <c r="T125" s="207" t="s">
        <v>536</v>
      </c>
      <c r="U125" s="159" t="e">
        <f>LOOKUP(E$67,'Model homes'!$C$351:$C$375,'Model homes'!$F$351:$F$375)*U116</f>
        <v>#DIV/0!</v>
      </c>
      <c r="V125" s="159" t="e">
        <f>LOOKUP(F$67,'Model homes'!$C$351:$C$375,'Model homes'!$F$351:$F$375)*V116</f>
        <v>#DIV/0!</v>
      </c>
      <c r="W125" s="159" t="e">
        <f>LOOKUP(G$67,'Model homes'!$C$351:$C$375,'Model homes'!$F$351:$F$375)*W116</f>
        <v>#DIV/0!</v>
      </c>
      <c r="X125" s="159" t="e">
        <f>LOOKUP(H$67,'Model homes'!$C$351:$C$375,'Model homes'!$F$351:$F$375)*X116</f>
        <v>#DIV/0!</v>
      </c>
      <c r="Z125" s="42"/>
      <c r="AA125" s="99"/>
      <c r="AB125" s="207" t="s">
        <v>536</v>
      </c>
      <c r="AC125" s="159" t="e">
        <f>LOOKUP(E$67,'Model homes'!$C$351:$C$375,'Model homes'!$G$351:$G$375)*AC116</f>
        <v>#DIV/0!</v>
      </c>
      <c r="AD125" s="159" t="e">
        <f>LOOKUP(F$67,'Model homes'!$C$351:$C$375,'Model homes'!$G$351:$G$375)*AD116</f>
        <v>#DIV/0!</v>
      </c>
      <c r="AE125" s="159" t="e">
        <f>LOOKUP(G$67,'Model homes'!$C$351:$C$375,'Model homes'!$G$351:$G$375)*AE116</f>
        <v>#DIV/0!</v>
      </c>
      <c r="AF125" s="159" t="e">
        <f>LOOKUP(H$67,'Model homes'!$C$351:$C$375,'Model homes'!$G$351:$G$375)*AF116</f>
        <v>#DIV/0!</v>
      </c>
      <c r="AJ125" s="207" t="s">
        <v>536</v>
      </c>
      <c r="AK125" s="159" t="e">
        <f>LOOKUP(E$67,'Model homes'!$C$351:$C$375,'Model homes'!$H$351:$H$375)*AK116</f>
        <v>#DIV/0!</v>
      </c>
      <c r="AL125" s="159" t="e">
        <f>LOOKUP(F$67,'Model homes'!$C$351:$C$375,'Model homes'!$H$351:$H$375)*AL116</f>
        <v>#DIV/0!</v>
      </c>
      <c r="AM125" s="159" t="e">
        <f>LOOKUP(G$67,'Model homes'!$C$351:$C$375,'Model homes'!$H$351:$H$375)*AM116</f>
        <v>#DIV/0!</v>
      </c>
      <c r="AN125" s="159" t="e">
        <f>LOOKUP(H$67,'Model homes'!$C$351:$C$375,'Model homes'!$H$351:$H$375)*AN116</f>
        <v>#DIV/0!</v>
      </c>
    </row>
    <row r="126" spans="3:40" x14ac:dyDescent="0.3">
      <c r="C126" s="36"/>
      <c r="D126" s="96"/>
      <c r="E126" s="55"/>
      <c r="F126" s="55"/>
      <c r="G126" s="55"/>
      <c r="H126" s="55"/>
      <c r="Z126" s="42"/>
      <c r="AA126" s="99"/>
    </row>
    <row r="127" spans="3:40" x14ac:dyDescent="0.3">
      <c r="C127" s="195" t="s">
        <v>303</v>
      </c>
      <c r="D127" s="17" t="s">
        <v>301</v>
      </c>
      <c r="E127" s="231">
        <f>'Model homes'!E$170</f>
        <v>0.03</v>
      </c>
    </row>
    <row r="128" spans="3:40" x14ac:dyDescent="0.3">
      <c r="J128" s="26"/>
    </row>
    <row r="129" spans="2:20" x14ac:dyDescent="0.3">
      <c r="C129" s="51" t="s">
        <v>537</v>
      </c>
      <c r="E129" s="209"/>
      <c r="J129" s="229" t="s">
        <v>538</v>
      </c>
    </row>
    <row r="130" spans="2:20" x14ac:dyDescent="0.3">
      <c r="C130" s="20" t="str">
        <f>C110</f>
        <v>Lighting - Switching off light when absent</v>
      </c>
      <c r="D130" s="207" t="s">
        <v>536</v>
      </c>
      <c r="E130" s="159" t="e">
        <f>M119+U119+AC119+AK119</f>
        <v>#DIV/0!</v>
      </c>
      <c r="F130" s="159" t="e">
        <f t="shared" ref="F130:H130" si="23">N119+V119+AD119+AL119</f>
        <v>#DIV/0!</v>
      </c>
      <c r="G130" s="159" t="e">
        <f t="shared" si="23"/>
        <v>#DIV/0!</v>
      </c>
      <c r="H130" s="159" t="e">
        <f t="shared" si="23"/>
        <v>#DIV/0!</v>
      </c>
      <c r="J130" s="236">
        <f>(1-(((1+'Model homes'!$E166)/(1+E$127))^E$67))/(E$127-'Model homes'!$E166)</f>
        <v>2.8985052991278306</v>
      </c>
    </row>
    <row r="131" spans="2:20" x14ac:dyDescent="0.3">
      <c r="C131" s="20" t="str">
        <f t="shared" ref="C131:C136" si="24">C111</f>
        <v>Washing machine - Washing without prewash</v>
      </c>
      <c r="D131" s="207" t="s">
        <v>536</v>
      </c>
      <c r="E131" s="159" t="e">
        <f t="shared" ref="E131:E136" si="25">M120+U120+AC120+AK120</f>
        <v>#DIV/0!</v>
      </c>
      <c r="F131" s="159" t="e">
        <f t="shared" ref="F131:F136" si="26">N120+V120+AD120+AL120</f>
        <v>#DIV/0!</v>
      </c>
      <c r="G131" s="159" t="e">
        <f t="shared" ref="G131:G136" si="27">O120+W120+AE120+AM120</f>
        <v>#DIV/0!</v>
      </c>
      <c r="H131" s="159" t="e">
        <f t="shared" ref="H131:H136" si="28">P120+X120+AF120+AN120</f>
        <v>#DIV/0!</v>
      </c>
      <c r="J131" s="230">
        <f>J130</f>
        <v>2.8985052991278306</v>
      </c>
    </row>
    <row r="132" spans="2:20" x14ac:dyDescent="0.3">
      <c r="C132" s="20" t="str">
        <f t="shared" si="24"/>
        <v>Washing machine - Use eco programs for washing machine</v>
      </c>
      <c r="D132" s="207" t="s">
        <v>536</v>
      </c>
      <c r="E132" s="159" t="e">
        <f t="shared" si="25"/>
        <v>#DIV/0!</v>
      </c>
      <c r="F132" s="159" t="e">
        <f t="shared" si="26"/>
        <v>#DIV/0!</v>
      </c>
      <c r="G132" s="159" t="e">
        <f t="shared" si="27"/>
        <v>#DIV/0!</v>
      </c>
      <c r="H132" s="159" t="e">
        <f t="shared" si="28"/>
        <v>#DIV/0!</v>
      </c>
      <c r="J132" s="230">
        <f t="shared" ref="J132:J136" si="29">J131</f>
        <v>2.8985052991278306</v>
      </c>
    </row>
    <row r="133" spans="2:20" x14ac:dyDescent="0.3">
      <c r="C133" s="20" t="str">
        <f t="shared" si="24"/>
        <v>Washing machine - Using detergents allowing to wash laundry at 30 degrees</v>
      </c>
      <c r="D133" s="207" t="s">
        <v>536</v>
      </c>
      <c r="E133" s="159" t="e">
        <f t="shared" si="25"/>
        <v>#DIV/0!</v>
      </c>
      <c r="F133" s="159" t="e">
        <f t="shared" si="26"/>
        <v>#DIV/0!</v>
      </c>
      <c r="G133" s="159" t="e">
        <f t="shared" si="27"/>
        <v>#DIV/0!</v>
      </c>
      <c r="H133" s="159" t="e">
        <f t="shared" si="28"/>
        <v>#DIV/0!</v>
      </c>
      <c r="J133" s="230">
        <f t="shared" si="29"/>
        <v>2.8985052991278306</v>
      </c>
    </row>
    <row r="134" spans="2:20" x14ac:dyDescent="0.3">
      <c r="C134" s="20" t="str">
        <f t="shared" si="24"/>
        <v xml:space="preserve">Tumble dryer - Leave laundry to dry on a clothes horse </v>
      </c>
      <c r="D134" s="207" t="s">
        <v>536</v>
      </c>
      <c r="E134" s="159" t="e">
        <f t="shared" si="25"/>
        <v>#DIV/0!</v>
      </c>
      <c r="F134" s="159" t="e">
        <f t="shared" si="26"/>
        <v>#DIV/0!</v>
      </c>
      <c r="G134" s="159" t="e">
        <f t="shared" si="27"/>
        <v>#DIV/0!</v>
      </c>
      <c r="H134" s="159" t="e">
        <f t="shared" si="28"/>
        <v>#DIV/0!</v>
      </c>
      <c r="J134" s="230">
        <f t="shared" si="29"/>
        <v>2.8985052991278306</v>
      </c>
    </row>
    <row r="135" spans="2:20" x14ac:dyDescent="0.3">
      <c r="C135" s="20" t="str">
        <f t="shared" si="24"/>
        <v>Dish washer - Use eco programs for dish washer</v>
      </c>
      <c r="D135" s="207" t="s">
        <v>536</v>
      </c>
      <c r="E135" s="159" t="e">
        <f t="shared" si="25"/>
        <v>#DIV/0!</v>
      </c>
      <c r="F135" s="159" t="e">
        <f t="shared" si="26"/>
        <v>#DIV/0!</v>
      </c>
      <c r="G135" s="159" t="e">
        <f t="shared" si="27"/>
        <v>#DIV/0!</v>
      </c>
      <c r="H135" s="159" t="e">
        <f t="shared" si="28"/>
        <v>#DIV/0!</v>
      </c>
      <c r="J135" s="230">
        <f t="shared" si="29"/>
        <v>2.8985052991278306</v>
      </c>
    </row>
    <row r="136" spans="2:20" x14ac:dyDescent="0.3">
      <c r="C136" s="20" t="str">
        <f t="shared" si="24"/>
        <v>Standby - behavior change</v>
      </c>
      <c r="D136" s="207" t="s">
        <v>536</v>
      </c>
      <c r="E136" s="159" t="e">
        <f t="shared" si="25"/>
        <v>#DIV/0!</v>
      </c>
      <c r="F136" s="159" t="e">
        <f t="shared" si="26"/>
        <v>#DIV/0!</v>
      </c>
      <c r="G136" s="159" t="e">
        <f t="shared" si="27"/>
        <v>#DIV/0!</v>
      </c>
      <c r="H136" s="159" t="e">
        <f t="shared" si="28"/>
        <v>#DIV/0!</v>
      </c>
      <c r="J136" s="230">
        <f t="shared" si="29"/>
        <v>2.8985052991278306</v>
      </c>
    </row>
    <row r="137" spans="2:20" x14ac:dyDescent="0.3">
      <c r="C137" s="36"/>
      <c r="D137" s="96"/>
      <c r="E137" s="55"/>
      <c r="F137" s="55"/>
      <c r="G137" s="55"/>
      <c r="H137" s="55"/>
      <c r="R137" s="42"/>
      <c r="S137" s="99"/>
    </row>
    <row r="138" spans="2:20" ht="20.25" x14ac:dyDescent="0.35">
      <c r="C138" s="81" t="s">
        <v>838</v>
      </c>
      <c r="R138" s="42"/>
      <c r="S138" s="99"/>
      <c r="T138" s="42"/>
    </row>
    <row r="139" spans="2:20" s="18" customFormat="1" ht="17.25" thickBot="1" x14ac:dyDescent="0.35">
      <c r="B139" s="19" t="s">
        <v>153</v>
      </c>
      <c r="C139" s="19" t="s">
        <v>154</v>
      </c>
      <c r="D139" s="19" t="s">
        <v>32</v>
      </c>
      <c r="E139" s="19" t="s">
        <v>155</v>
      </c>
      <c r="F139" s="19"/>
      <c r="G139" s="19" t="s">
        <v>155</v>
      </c>
      <c r="H139" s="19"/>
      <c r="I139" s="19"/>
      <c r="J139" s="56" t="s">
        <v>156</v>
      </c>
      <c r="K139" s="56"/>
      <c r="R139" s="42"/>
      <c r="S139" s="99"/>
      <c r="T139" s="42"/>
    </row>
    <row r="140" spans="2:20" s="30" customFormat="1" ht="18" thickTop="1" thickBot="1" x14ac:dyDescent="0.35">
      <c r="B140" s="28"/>
      <c r="C140" s="29" t="s">
        <v>157</v>
      </c>
      <c r="D140" s="29"/>
      <c r="E140" s="335" t="s">
        <v>5</v>
      </c>
      <c r="F140" s="335"/>
      <c r="G140" s="335" t="s">
        <v>6</v>
      </c>
      <c r="H140" s="335"/>
      <c r="I140" s="28"/>
      <c r="J140" s="28"/>
      <c r="K140" s="57"/>
      <c r="M140" s="20"/>
      <c r="R140" s="42"/>
      <c r="S140" s="99"/>
      <c r="T140" s="42"/>
    </row>
    <row r="141" spans="2:20" ht="18" thickTop="1" thickBot="1" x14ac:dyDescent="0.35">
      <c r="B141" s="19"/>
      <c r="C141" s="29" t="s">
        <v>158</v>
      </c>
      <c r="D141" s="29"/>
      <c r="E141" s="29" t="s">
        <v>7</v>
      </c>
      <c r="F141" s="29" t="s">
        <v>8</v>
      </c>
      <c r="G141" s="29" t="s">
        <v>7</v>
      </c>
      <c r="H141" s="29" t="s">
        <v>8</v>
      </c>
      <c r="I141" s="19"/>
      <c r="J141" s="19"/>
      <c r="K141" s="56"/>
      <c r="M141" s="82"/>
      <c r="N141" s="82"/>
      <c r="R141" s="42"/>
      <c r="S141" s="99"/>
      <c r="T141" s="42"/>
    </row>
    <row r="142" spans="2:20" ht="17.25" thickTop="1" x14ac:dyDescent="0.3">
      <c r="C142" s="20" t="str">
        <f t="shared" ref="C142:C148" si="30">C119</f>
        <v>Lighting - Switching off light when absent</v>
      </c>
      <c r="D142" s="20" t="s">
        <v>540</v>
      </c>
      <c r="E142" s="38">
        <f>'Campaign Input'!$G$12*'Data Input'!B$9</f>
        <v>0</v>
      </c>
      <c r="F142" s="38">
        <f>'Campaign Input'!$G$12*'Data Input'!C$9</f>
        <v>0</v>
      </c>
      <c r="G142" s="38">
        <f>'Campaign Input'!$G$12*'Data Input'!D$9</f>
        <v>0</v>
      </c>
      <c r="H142" s="38">
        <f>'Campaign Input'!$G$12*'Data Input'!E$9</f>
        <v>0</v>
      </c>
      <c r="R142" s="42"/>
      <c r="S142" s="99"/>
      <c r="T142" s="99"/>
    </row>
    <row r="143" spans="2:20" x14ac:dyDescent="0.3">
      <c r="C143" s="20" t="str">
        <f t="shared" si="30"/>
        <v>Washing machine - Washing without prewash</v>
      </c>
      <c r="D143" s="20" t="s">
        <v>540</v>
      </c>
      <c r="E143" s="38">
        <f>'Campaign Input'!$G$12*'Data Input'!B$9</f>
        <v>0</v>
      </c>
      <c r="F143" s="38">
        <f>'Campaign Input'!$G$12*'Data Input'!C$9</f>
        <v>0</v>
      </c>
      <c r="G143" s="38">
        <f>'Campaign Input'!$G$12*'Data Input'!D$9</f>
        <v>0</v>
      </c>
      <c r="H143" s="38">
        <f>'Campaign Input'!$G$12*'Data Input'!E$9</f>
        <v>0</v>
      </c>
    </row>
    <row r="144" spans="2:20" x14ac:dyDescent="0.3">
      <c r="C144" s="20" t="str">
        <f t="shared" si="30"/>
        <v>Washing machine - Use eco programs for washing machine</v>
      </c>
      <c r="D144" s="20" t="s">
        <v>540</v>
      </c>
      <c r="E144" s="38">
        <f>'Campaign Input'!$G$12*'Data Input'!B$9</f>
        <v>0</v>
      </c>
      <c r="F144" s="38">
        <f>'Campaign Input'!$G$12*'Data Input'!C$9</f>
        <v>0</v>
      </c>
      <c r="G144" s="38">
        <f>'Campaign Input'!$G$12*'Data Input'!D$9</f>
        <v>0</v>
      </c>
      <c r="H144" s="38">
        <f>'Campaign Input'!$G$12*'Data Input'!E$9</f>
        <v>0</v>
      </c>
    </row>
    <row r="145" spans="3:10" x14ac:dyDescent="0.3">
      <c r="C145" s="20" t="str">
        <f t="shared" si="30"/>
        <v>Washing machine - Using detergents allowing to wash laundry at 30 degrees</v>
      </c>
      <c r="D145" s="20" t="s">
        <v>540</v>
      </c>
      <c r="E145" s="38">
        <f>'Campaign Input'!$G$12*'Data Input'!B$9</f>
        <v>0</v>
      </c>
      <c r="F145" s="38">
        <f>'Campaign Input'!$G$12*'Data Input'!C$9</f>
        <v>0</v>
      </c>
      <c r="G145" s="38">
        <f>'Campaign Input'!$G$12*'Data Input'!D$9</f>
        <v>0</v>
      </c>
      <c r="H145" s="38">
        <f>'Campaign Input'!$G$12*'Data Input'!E$9</f>
        <v>0</v>
      </c>
    </row>
    <row r="146" spans="3:10" x14ac:dyDescent="0.3">
      <c r="C146" s="20" t="str">
        <f t="shared" si="30"/>
        <v xml:space="preserve">Tumble dryer - Leave laundry to dry on a clothes horse </v>
      </c>
      <c r="D146" s="20" t="s">
        <v>540</v>
      </c>
      <c r="E146" s="38">
        <f>'Campaign Input'!$G$12*'Data Input'!B$9</f>
        <v>0</v>
      </c>
      <c r="F146" s="38">
        <f>'Campaign Input'!$G$12*'Data Input'!C$9</f>
        <v>0</v>
      </c>
      <c r="G146" s="38">
        <f>'Campaign Input'!$G$12*'Data Input'!D$9</f>
        <v>0</v>
      </c>
      <c r="H146" s="38">
        <f>'Campaign Input'!$G$12*'Data Input'!E$9</f>
        <v>0</v>
      </c>
    </row>
    <row r="147" spans="3:10" x14ac:dyDescent="0.3">
      <c r="C147" s="20" t="str">
        <f t="shared" si="30"/>
        <v>Dish washer - Use eco programs for dish washer</v>
      </c>
      <c r="D147" s="20" t="s">
        <v>540</v>
      </c>
      <c r="E147" s="38">
        <f>'Campaign Input'!$G$12*'Data Input'!B$9</f>
        <v>0</v>
      </c>
      <c r="F147" s="38">
        <f>'Campaign Input'!$G$12*'Data Input'!C$9</f>
        <v>0</v>
      </c>
      <c r="G147" s="38">
        <f>'Campaign Input'!$G$12*'Data Input'!D$9</f>
        <v>0</v>
      </c>
      <c r="H147" s="38">
        <f>'Campaign Input'!$G$12*'Data Input'!E$9</f>
        <v>0</v>
      </c>
    </row>
    <row r="148" spans="3:10" x14ac:dyDescent="0.3">
      <c r="C148" s="20" t="str">
        <f t="shared" si="30"/>
        <v>Standby - behavior change</v>
      </c>
      <c r="D148" s="20" t="s">
        <v>540</v>
      </c>
      <c r="E148" s="38">
        <f>'Campaign Input'!$G$12*'Data Input'!B$9</f>
        <v>0</v>
      </c>
      <c r="F148" s="38">
        <f>'Campaign Input'!$G$12*'Data Input'!C$9</f>
        <v>0</v>
      </c>
      <c r="G148" s="38">
        <f>'Campaign Input'!$G$12*'Data Input'!D$9</f>
        <v>0</v>
      </c>
      <c r="H148" s="38">
        <f>'Campaign Input'!$G$12*'Data Input'!E$9</f>
        <v>0</v>
      </c>
    </row>
    <row r="150" spans="3:10" x14ac:dyDescent="0.3">
      <c r="C150" s="51" t="s">
        <v>541</v>
      </c>
      <c r="D150" s="84"/>
      <c r="E150" s="91"/>
    </row>
    <row r="151" spans="3:10" x14ac:dyDescent="0.3">
      <c r="C151" s="20" t="str">
        <f>C142</f>
        <v>Lighting - Switching off light when absent</v>
      </c>
      <c r="D151" s="15" t="s">
        <v>542</v>
      </c>
      <c r="E151" s="42">
        <f>E142*E83*E$67</f>
        <v>0</v>
      </c>
      <c r="F151" s="42">
        <f t="shared" ref="F151:H151" si="31">F142*F83*F$67</f>
        <v>0</v>
      </c>
      <c r="G151" s="42">
        <f t="shared" si="31"/>
        <v>0</v>
      </c>
      <c r="H151" s="42">
        <f t="shared" si="31"/>
        <v>0</v>
      </c>
      <c r="J151" s="45">
        <f>SUM(E151:H151)</f>
        <v>0</v>
      </c>
    </row>
    <row r="152" spans="3:10" x14ac:dyDescent="0.3">
      <c r="C152" s="20" t="str">
        <f t="shared" ref="C152:C157" si="32">C143</f>
        <v>Washing machine - Washing without prewash</v>
      </c>
      <c r="D152" s="15" t="s">
        <v>542</v>
      </c>
      <c r="E152" s="42">
        <f t="shared" ref="E152:H152" si="33">E143*E84*E$67</f>
        <v>0</v>
      </c>
      <c r="F152" s="42">
        <f t="shared" si="33"/>
        <v>0</v>
      </c>
      <c r="G152" s="42">
        <f t="shared" si="33"/>
        <v>0</v>
      </c>
      <c r="H152" s="42">
        <f t="shared" si="33"/>
        <v>0</v>
      </c>
      <c r="J152" s="45">
        <f t="shared" ref="J152:J157" si="34">SUM(E152:H152)</f>
        <v>0</v>
      </c>
    </row>
    <row r="153" spans="3:10" x14ac:dyDescent="0.3">
      <c r="C153" s="20" t="str">
        <f t="shared" si="32"/>
        <v>Washing machine - Use eco programs for washing machine</v>
      </c>
      <c r="D153" s="15" t="s">
        <v>542</v>
      </c>
      <c r="E153" s="42">
        <f t="shared" ref="E153:H153" si="35">E144*E85*E$67</f>
        <v>0</v>
      </c>
      <c r="F153" s="42">
        <f t="shared" si="35"/>
        <v>0</v>
      </c>
      <c r="G153" s="42">
        <f t="shared" si="35"/>
        <v>0</v>
      </c>
      <c r="H153" s="42">
        <f t="shared" si="35"/>
        <v>0</v>
      </c>
      <c r="J153" s="45">
        <f t="shared" si="34"/>
        <v>0</v>
      </c>
    </row>
    <row r="154" spans="3:10" x14ac:dyDescent="0.3">
      <c r="C154" s="20" t="str">
        <f t="shared" si="32"/>
        <v>Washing machine - Using detergents allowing to wash laundry at 30 degrees</v>
      </c>
      <c r="D154" s="15" t="s">
        <v>542</v>
      </c>
      <c r="E154" s="42">
        <f t="shared" ref="E154:H154" si="36">E145*E86*E$67</f>
        <v>0</v>
      </c>
      <c r="F154" s="42">
        <f t="shared" si="36"/>
        <v>0</v>
      </c>
      <c r="G154" s="42">
        <f t="shared" si="36"/>
        <v>0</v>
      </c>
      <c r="H154" s="42">
        <f t="shared" si="36"/>
        <v>0</v>
      </c>
      <c r="J154" s="45">
        <f t="shared" si="34"/>
        <v>0</v>
      </c>
    </row>
    <row r="155" spans="3:10" x14ac:dyDescent="0.3">
      <c r="C155" s="20" t="str">
        <f t="shared" si="32"/>
        <v xml:space="preserve">Tumble dryer - Leave laundry to dry on a clothes horse </v>
      </c>
      <c r="D155" s="15" t="s">
        <v>542</v>
      </c>
      <c r="E155" s="42">
        <f t="shared" ref="E155:H155" si="37">E146*E87*E$67</f>
        <v>0</v>
      </c>
      <c r="F155" s="42">
        <f t="shared" si="37"/>
        <v>0</v>
      </c>
      <c r="G155" s="42">
        <f t="shared" si="37"/>
        <v>0</v>
      </c>
      <c r="H155" s="42">
        <f t="shared" si="37"/>
        <v>0</v>
      </c>
      <c r="J155" s="45">
        <f t="shared" si="34"/>
        <v>0</v>
      </c>
    </row>
    <row r="156" spans="3:10" x14ac:dyDescent="0.3">
      <c r="C156" s="20" t="str">
        <f t="shared" si="32"/>
        <v>Dish washer - Use eco programs for dish washer</v>
      </c>
      <c r="D156" s="15" t="s">
        <v>542</v>
      </c>
      <c r="E156" s="42">
        <f t="shared" ref="E156:H156" si="38">E147*E88*E$67</f>
        <v>0</v>
      </c>
      <c r="F156" s="42">
        <f t="shared" si="38"/>
        <v>0</v>
      </c>
      <c r="G156" s="42">
        <f t="shared" si="38"/>
        <v>0</v>
      </c>
      <c r="H156" s="42">
        <f t="shared" si="38"/>
        <v>0</v>
      </c>
      <c r="J156" s="45">
        <f t="shared" si="34"/>
        <v>0</v>
      </c>
    </row>
    <row r="157" spans="3:10" x14ac:dyDescent="0.3">
      <c r="C157" s="20" t="str">
        <f t="shared" si="32"/>
        <v>Standby - behavior change</v>
      </c>
      <c r="D157" s="15" t="s">
        <v>542</v>
      </c>
      <c r="E157" s="42">
        <f t="shared" ref="E157:H157" si="39">E148*E89*E$67</f>
        <v>0</v>
      </c>
      <c r="F157" s="42">
        <f t="shared" si="39"/>
        <v>0</v>
      </c>
      <c r="G157" s="42">
        <f t="shared" si="39"/>
        <v>0</v>
      </c>
      <c r="H157" s="42">
        <f t="shared" si="39"/>
        <v>0</v>
      </c>
      <c r="J157" s="45">
        <f t="shared" si="34"/>
        <v>0</v>
      </c>
    </row>
    <row r="159" spans="3:10" x14ac:dyDescent="0.3">
      <c r="C159" s="51" t="s">
        <v>726</v>
      </c>
      <c r="D159" s="84"/>
      <c r="E159" s="91"/>
    </row>
    <row r="160" spans="3:10" x14ac:dyDescent="0.3">
      <c r="C160" s="20" t="str">
        <f t="shared" ref="C160:C166" si="40">C142</f>
        <v>Lighting - Switching off light when absent</v>
      </c>
      <c r="D160" s="15" t="s">
        <v>69</v>
      </c>
      <c r="E160" s="42" t="e">
        <f>E142*E101*$J101</f>
        <v>#VALUE!</v>
      </c>
      <c r="F160" s="42" t="e">
        <f t="shared" ref="F160:H160" si="41">F142*F101*$J101</f>
        <v>#VALUE!</v>
      </c>
      <c r="G160" s="42" t="e">
        <f t="shared" si="41"/>
        <v>#VALUE!</v>
      </c>
      <c r="H160" s="42" t="e">
        <f t="shared" si="41"/>
        <v>#VALUE!</v>
      </c>
      <c r="J160" s="45" t="e">
        <f>SUM(E160:H160)</f>
        <v>#VALUE!</v>
      </c>
    </row>
    <row r="161" spans="3:10" x14ac:dyDescent="0.3">
      <c r="C161" s="20" t="str">
        <f t="shared" si="40"/>
        <v>Washing machine - Washing without prewash</v>
      </c>
      <c r="D161" s="15" t="s">
        <v>69</v>
      </c>
      <c r="E161" s="42" t="e">
        <f t="shared" ref="E161:H166" si="42">E143*E102*$J102</f>
        <v>#VALUE!</v>
      </c>
      <c r="F161" s="42" t="e">
        <f t="shared" si="42"/>
        <v>#VALUE!</v>
      </c>
      <c r="G161" s="42" t="e">
        <f t="shared" si="42"/>
        <v>#VALUE!</v>
      </c>
      <c r="H161" s="42" t="e">
        <f t="shared" si="42"/>
        <v>#VALUE!</v>
      </c>
      <c r="J161" s="45" t="e">
        <f t="shared" ref="J161:J166" si="43">SUM(E161:H161)</f>
        <v>#VALUE!</v>
      </c>
    </row>
    <row r="162" spans="3:10" x14ac:dyDescent="0.3">
      <c r="C162" s="20" t="str">
        <f t="shared" si="40"/>
        <v>Washing machine - Use eco programs for washing machine</v>
      </c>
      <c r="D162" s="15" t="s">
        <v>69</v>
      </c>
      <c r="E162" s="42" t="e">
        <f t="shared" si="42"/>
        <v>#VALUE!</v>
      </c>
      <c r="F162" s="42" t="e">
        <f t="shared" si="42"/>
        <v>#VALUE!</v>
      </c>
      <c r="G162" s="42" t="e">
        <f t="shared" si="42"/>
        <v>#VALUE!</v>
      </c>
      <c r="H162" s="42" t="e">
        <f t="shared" si="42"/>
        <v>#VALUE!</v>
      </c>
      <c r="J162" s="45" t="e">
        <f t="shared" si="43"/>
        <v>#VALUE!</v>
      </c>
    </row>
    <row r="163" spans="3:10" x14ac:dyDescent="0.3">
      <c r="C163" s="20" t="str">
        <f t="shared" si="40"/>
        <v>Washing machine - Using detergents allowing to wash laundry at 30 degrees</v>
      </c>
      <c r="D163" s="15" t="s">
        <v>69</v>
      </c>
      <c r="E163" s="42" t="e">
        <f t="shared" si="42"/>
        <v>#VALUE!</v>
      </c>
      <c r="F163" s="42" t="e">
        <f t="shared" si="42"/>
        <v>#VALUE!</v>
      </c>
      <c r="G163" s="42" t="e">
        <f t="shared" si="42"/>
        <v>#VALUE!</v>
      </c>
      <c r="H163" s="42" t="e">
        <f t="shared" si="42"/>
        <v>#VALUE!</v>
      </c>
      <c r="J163" s="45" t="e">
        <f t="shared" si="43"/>
        <v>#VALUE!</v>
      </c>
    </row>
    <row r="164" spans="3:10" x14ac:dyDescent="0.3">
      <c r="C164" s="20" t="str">
        <f t="shared" si="40"/>
        <v xml:space="preserve">Tumble dryer - Leave laundry to dry on a clothes horse </v>
      </c>
      <c r="D164" s="15" t="s">
        <v>69</v>
      </c>
      <c r="E164" s="42" t="e">
        <f t="shared" si="42"/>
        <v>#VALUE!</v>
      </c>
      <c r="F164" s="42" t="e">
        <f t="shared" si="42"/>
        <v>#VALUE!</v>
      </c>
      <c r="G164" s="42" t="e">
        <f t="shared" si="42"/>
        <v>#VALUE!</v>
      </c>
      <c r="H164" s="42" t="e">
        <f t="shared" si="42"/>
        <v>#VALUE!</v>
      </c>
      <c r="J164" s="45" t="e">
        <f t="shared" si="43"/>
        <v>#VALUE!</v>
      </c>
    </row>
    <row r="165" spans="3:10" x14ac:dyDescent="0.3">
      <c r="C165" s="20" t="str">
        <f t="shared" si="40"/>
        <v>Dish washer - Use eco programs for dish washer</v>
      </c>
      <c r="D165" s="15" t="s">
        <v>69</v>
      </c>
      <c r="E165" s="42" t="e">
        <f t="shared" si="42"/>
        <v>#VALUE!</v>
      </c>
      <c r="F165" s="42" t="e">
        <f t="shared" si="42"/>
        <v>#VALUE!</v>
      </c>
      <c r="G165" s="42" t="e">
        <f t="shared" si="42"/>
        <v>#VALUE!</v>
      </c>
      <c r="H165" s="42" t="e">
        <f t="shared" si="42"/>
        <v>#VALUE!</v>
      </c>
      <c r="J165" s="45" t="e">
        <f t="shared" si="43"/>
        <v>#VALUE!</v>
      </c>
    </row>
    <row r="166" spans="3:10" x14ac:dyDescent="0.3">
      <c r="C166" s="20" t="str">
        <f t="shared" si="40"/>
        <v>Standby - behavior change</v>
      </c>
      <c r="D166" s="15" t="s">
        <v>69</v>
      </c>
      <c r="E166" s="42" t="e">
        <f t="shared" si="42"/>
        <v>#VALUE!</v>
      </c>
      <c r="F166" s="42" t="e">
        <f t="shared" si="42"/>
        <v>#VALUE!</v>
      </c>
      <c r="G166" s="42" t="e">
        <f t="shared" si="42"/>
        <v>#VALUE!</v>
      </c>
      <c r="H166" s="42" t="e">
        <f t="shared" si="42"/>
        <v>#VALUE!</v>
      </c>
      <c r="J166" s="45" t="e">
        <f t="shared" si="43"/>
        <v>#VALUE!</v>
      </c>
    </row>
    <row r="168" spans="3:10" x14ac:dyDescent="0.3">
      <c r="C168" s="51" t="s">
        <v>522</v>
      </c>
      <c r="D168" s="84"/>
      <c r="E168" s="91"/>
    </row>
    <row r="169" spans="3:10" x14ac:dyDescent="0.3">
      <c r="C169" s="20" t="str">
        <f t="shared" ref="C169:C175" si="44">C160</f>
        <v>Lighting - Switching off light when absent</v>
      </c>
      <c r="D169" s="84" t="s">
        <v>527</v>
      </c>
      <c r="E169" s="42" t="e">
        <f t="shared" ref="E169:H175" si="45">E142*E110</f>
        <v>#N/A</v>
      </c>
      <c r="F169" s="42" t="e">
        <f t="shared" si="45"/>
        <v>#N/A</v>
      </c>
      <c r="G169" s="42" t="e">
        <f t="shared" si="45"/>
        <v>#N/A</v>
      </c>
      <c r="H169" s="42" t="e">
        <f t="shared" si="45"/>
        <v>#N/A</v>
      </c>
      <c r="J169" s="136"/>
    </row>
    <row r="170" spans="3:10" x14ac:dyDescent="0.3">
      <c r="C170" s="20" t="str">
        <f t="shared" si="44"/>
        <v>Washing machine - Washing without prewash</v>
      </c>
      <c r="D170" s="84" t="s">
        <v>527</v>
      </c>
      <c r="E170" s="42" t="e">
        <f t="shared" si="45"/>
        <v>#N/A</v>
      </c>
      <c r="F170" s="42" t="e">
        <f t="shared" si="45"/>
        <v>#N/A</v>
      </c>
      <c r="G170" s="42" t="e">
        <f t="shared" si="45"/>
        <v>#N/A</v>
      </c>
      <c r="H170" s="42" t="e">
        <f t="shared" si="45"/>
        <v>#N/A</v>
      </c>
      <c r="J170" s="136"/>
    </row>
    <row r="171" spans="3:10" x14ac:dyDescent="0.3">
      <c r="C171" s="20" t="str">
        <f t="shared" si="44"/>
        <v>Washing machine - Use eco programs for washing machine</v>
      </c>
      <c r="D171" s="84" t="s">
        <v>527</v>
      </c>
      <c r="E171" s="42" t="e">
        <f t="shared" si="45"/>
        <v>#N/A</v>
      </c>
      <c r="F171" s="42" t="e">
        <f t="shared" si="45"/>
        <v>#N/A</v>
      </c>
      <c r="G171" s="42" t="e">
        <f t="shared" si="45"/>
        <v>#N/A</v>
      </c>
      <c r="H171" s="42" t="e">
        <f t="shared" si="45"/>
        <v>#N/A</v>
      </c>
      <c r="J171" s="136"/>
    </row>
    <row r="172" spans="3:10" x14ac:dyDescent="0.3">
      <c r="C172" s="20" t="str">
        <f t="shared" si="44"/>
        <v>Washing machine - Using detergents allowing to wash laundry at 30 degrees</v>
      </c>
      <c r="D172" s="84" t="s">
        <v>527</v>
      </c>
      <c r="E172" s="42" t="e">
        <f t="shared" si="45"/>
        <v>#N/A</v>
      </c>
      <c r="F172" s="42" t="e">
        <f t="shared" si="45"/>
        <v>#N/A</v>
      </c>
      <c r="G172" s="42" t="e">
        <f t="shared" si="45"/>
        <v>#N/A</v>
      </c>
      <c r="H172" s="42" t="e">
        <f t="shared" si="45"/>
        <v>#N/A</v>
      </c>
      <c r="J172" s="136"/>
    </row>
    <row r="173" spans="3:10" x14ac:dyDescent="0.3">
      <c r="C173" s="20" t="str">
        <f t="shared" si="44"/>
        <v xml:space="preserve">Tumble dryer - Leave laundry to dry on a clothes horse </v>
      </c>
      <c r="D173" s="84" t="s">
        <v>527</v>
      </c>
      <c r="E173" s="42" t="e">
        <f t="shared" si="45"/>
        <v>#N/A</v>
      </c>
      <c r="F173" s="42" t="e">
        <f t="shared" si="45"/>
        <v>#N/A</v>
      </c>
      <c r="G173" s="42" t="e">
        <f t="shared" si="45"/>
        <v>#N/A</v>
      </c>
      <c r="H173" s="42" t="e">
        <f t="shared" si="45"/>
        <v>#N/A</v>
      </c>
      <c r="J173" s="136"/>
    </row>
    <row r="174" spans="3:10" x14ac:dyDescent="0.3">
      <c r="C174" s="20" t="str">
        <f t="shared" si="44"/>
        <v>Dish washer - Use eco programs for dish washer</v>
      </c>
      <c r="D174" s="84" t="s">
        <v>527</v>
      </c>
      <c r="E174" s="42" t="e">
        <f t="shared" si="45"/>
        <v>#N/A</v>
      </c>
      <c r="F174" s="42" t="e">
        <f t="shared" si="45"/>
        <v>#N/A</v>
      </c>
      <c r="G174" s="42" t="e">
        <f t="shared" si="45"/>
        <v>#N/A</v>
      </c>
      <c r="H174" s="42" t="e">
        <f t="shared" si="45"/>
        <v>#N/A</v>
      </c>
      <c r="J174" s="136"/>
    </row>
    <row r="175" spans="3:10" x14ac:dyDescent="0.3">
      <c r="C175" s="20" t="str">
        <f t="shared" si="44"/>
        <v>Standby - behavior change</v>
      </c>
      <c r="D175" s="84" t="s">
        <v>527</v>
      </c>
      <c r="E175" s="42" t="e">
        <f t="shared" si="45"/>
        <v>#N/A</v>
      </c>
      <c r="F175" s="42" t="e">
        <f t="shared" si="45"/>
        <v>#N/A</v>
      </c>
      <c r="G175" s="42" t="e">
        <f t="shared" si="45"/>
        <v>#N/A</v>
      </c>
      <c r="H175" s="42" t="e">
        <f t="shared" si="45"/>
        <v>#N/A</v>
      </c>
      <c r="J175" s="136"/>
    </row>
    <row r="177" spans="3:10" x14ac:dyDescent="0.3">
      <c r="C177" s="51" t="s">
        <v>544</v>
      </c>
      <c r="D177" s="207"/>
      <c r="E177" s="208"/>
    </row>
    <row r="178" spans="3:10" x14ac:dyDescent="0.3">
      <c r="C178" s="209" t="str">
        <f>C169</f>
        <v>Lighting - Switching off light when absent</v>
      </c>
      <c r="D178" s="207" t="s">
        <v>605</v>
      </c>
      <c r="E178" s="97" t="e">
        <f>E169*E$67</f>
        <v>#N/A</v>
      </c>
      <c r="F178" s="97" t="e">
        <f t="shared" ref="F178:H178" si="46">F169*F$67</f>
        <v>#N/A</v>
      </c>
      <c r="G178" s="97" t="e">
        <f t="shared" si="46"/>
        <v>#N/A</v>
      </c>
      <c r="H178" s="97" t="e">
        <f t="shared" si="46"/>
        <v>#N/A</v>
      </c>
      <c r="J178" s="136" t="e">
        <f>SUM(E178:H178)</f>
        <v>#N/A</v>
      </c>
    </row>
    <row r="179" spans="3:10" x14ac:dyDescent="0.3">
      <c r="C179" s="209" t="str">
        <f t="shared" ref="C179:C184" si="47">C170</f>
        <v>Washing machine - Washing without prewash</v>
      </c>
      <c r="D179" s="207" t="s">
        <v>605</v>
      </c>
      <c r="E179" s="97" t="e">
        <f t="shared" ref="E179:H184" si="48">E170*E$67</f>
        <v>#N/A</v>
      </c>
      <c r="F179" s="97" t="e">
        <f t="shared" si="48"/>
        <v>#N/A</v>
      </c>
      <c r="G179" s="97" t="e">
        <f t="shared" si="48"/>
        <v>#N/A</v>
      </c>
      <c r="H179" s="97" t="e">
        <f t="shared" si="48"/>
        <v>#N/A</v>
      </c>
      <c r="J179" s="136" t="e">
        <f t="shared" ref="J179:J184" si="49">SUM(E179:H179)</f>
        <v>#N/A</v>
      </c>
    </row>
    <row r="180" spans="3:10" x14ac:dyDescent="0.3">
      <c r="C180" s="209" t="str">
        <f t="shared" si="47"/>
        <v>Washing machine - Use eco programs for washing machine</v>
      </c>
      <c r="D180" s="207" t="s">
        <v>605</v>
      </c>
      <c r="E180" s="97" t="e">
        <f t="shared" si="48"/>
        <v>#N/A</v>
      </c>
      <c r="F180" s="97" t="e">
        <f t="shared" si="48"/>
        <v>#N/A</v>
      </c>
      <c r="G180" s="97" t="e">
        <f t="shared" si="48"/>
        <v>#N/A</v>
      </c>
      <c r="H180" s="97" t="e">
        <f t="shared" si="48"/>
        <v>#N/A</v>
      </c>
      <c r="J180" s="136" t="e">
        <f t="shared" si="49"/>
        <v>#N/A</v>
      </c>
    </row>
    <row r="181" spans="3:10" x14ac:dyDescent="0.3">
      <c r="C181" s="209" t="str">
        <f t="shared" si="47"/>
        <v>Washing machine - Using detergents allowing to wash laundry at 30 degrees</v>
      </c>
      <c r="D181" s="207" t="s">
        <v>605</v>
      </c>
      <c r="E181" s="97" t="e">
        <f t="shared" si="48"/>
        <v>#N/A</v>
      </c>
      <c r="F181" s="97" t="e">
        <f t="shared" si="48"/>
        <v>#N/A</v>
      </c>
      <c r="G181" s="97" t="e">
        <f t="shared" si="48"/>
        <v>#N/A</v>
      </c>
      <c r="H181" s="97" t="e">
        <f t="shared" si="48"/>
        <v>#N/A</v>
      </c>
      <c r="J181" s="136" t="e">
        <f t="shared" si="49"/>
        <v>#N/A</v>
      </c>
    </row>
    <row r="182" spans="3:10" x14ac:dyDescent="0.3">
      <c r="C182" s="209" t="str">
        <f t="shared" si="47"/>
        <v xml:space="preserve">Tumble dryer - Leave laundry to dry on a clothes horse </v>
      </c>
      <c r="D182" s="207" t="s">
        <v>605</v>
      </c>
      <c r="E182" s="97" t="e">
        <f t="shared" si="48"/>
        <v>#N/A</v>
      </c>
      <c r="F182" s="97" t="e">
        <f t="shared" si="48"/>
        <v>#N/A</v>
      </c>
      <c r="G182" s="97" t="e">
        <f t="shared" si="48"/>
        <v>#N/A</v>
      </c>
      <c r="H182" s="97" t="e">
        <f t="shared" si="48"/>
        <v>#N/A</v>
      </c>
      <c r="J182" s="136" t="e">
        <f t="shared" si="49"/>
        <v>#N/A</v>
      </c>
    </row>
    <row r="183" spans="3:10" x14ac:dyDescent="0.3">
      <c r="C183" s="209" t="str">
        <f t="shared" si="47"/>
        <v>Dish washer - Use eco programs for dish washer</v>
      </c>
      <c r="D183" s="207" t="s">
        <v>605</v>
      </c>
      <c r="E183" s="97" t="e">
        <f t="shared" si="48"/>
        <v>#N/A</v>
      </c>
      <c r="F183" s="97" t="e">
        <f t="shared" si="48"/>
        <v>#N/A</v>
      </c>
      <c r="G183" s="97" t="e">
        <f t="shared" si="48"/>
        <v>#N/A</v>
      </c>
      <c r="H183" s="97" t="e">
        <f t="shared" si="48"/>
        <v>#N/A</v>
      </c>
      <c r="J183" s="136" t="e">
        <f t="shared" si="49"/>
        <v>#N/A</v>
      </c>
    </row>
    <row r="184" spans="3:10" x14ac:dyDescent="0.3">
      <c r="C184" s="209" t="str">
        <f t="shared" si="47"/>
        <v>Standby - behavior change</v>
      </c>
      <c r="D184" s="207" t="s">
        <v>605</v>
      </c>
      <c r="E184" s="97" t="e">
        <f t="shared" si="48"/>
        <v>#N/A</v>
      </c>
      <c r="F184" s="97" t="e">
        <f t="shared" si="48"/>
        <v>#N/A</v>
      </c>
      <c r="G184" s="97" t="e">
        <f t="shared" si="48"/>
        <v>#N/A</v>
      </c>
      <c r="H184" s="97" t="e">
        <f t="shared" si="48"/>
        <v>#N/A</v>
      </c>
      <c r="J184" s="136" t="e">
        <f t="shared" si="49"/>
        <v>#N/A</v>
      </c>
    </row>
    <row r="185" spans="3:10" x14ac:dyDescent="0.3">
      <c r="C185" s="221"/>
      <c r="D185" s="222"/>
      <c r="E185" s="223"/>
      <c r="F185" s="223"/>
      <c r="G185" s="223"/>
      <c r="H185" s="223"/>
      <c r="J185" s="223"/>
    </row>
    <row r="186" spans="3:10" x14ac:dyDescent="0.3">
      <c r="C186" s="51" t="s">
        <v>313</v>
      </c>
      <c r="D186" s="84"/>
      <c r="E186" s="91"/>
    </row>
    <row r="187" spans="3:10" x14ac:dyDescent="0.3">
      <c r="C187" s="20" t="str">
        <f t="shared" ref="C187:C193" si="50">C169</f>
        <v>Lighting - Switching off light when absent</v>
      </c>
      <c r="D187" s="84" t="s">
        <v>272</v>
      </c>
      <c r="E187" s="42" t="e">
        <f t="shared" ref="E187:H193" si="51">E142*E119</f>
        <v>#N/A</v>
      </c>
      <c r="F187" s="42" t="e">
        <f t="shared" si="51"/>
        <v>#N/A</v>
      </c>
      <c r="G187" s="42" t="e">
        <f t="shared" si="51"/>
        <v>#N/A</v>
      </c>
      <c r="H187" s="42" t="e">
        <f t="shared" si="51"/>
        <v>#N/A</v>
      </c>
      <c r="J187" s="45"/>
    </row>
    <row r="188" spans="3:10" x14ac:dyDescent="0.3">
      <c r="C188" s="20" t="str">
        <f t="shared" si="50"/>
        <v>Washing machine - Washing without prewash</v>
      </c>
      <c r="D188" s="84" t="s">
        <v>272</v>
      </c>
      <c r="E188" s="42" t="e">
        <f t="shared" si="51"/>
        <v>#N/A</v>
      </c>
      <c r="F188" s="42" t="e">
        <f t="shared" si="51"/>
        <v>#N/A</v>
      </c>
      <c r="G188" s="42" t="e">
        <f t="shared" si="51"/>
        <v>#N/A</v>
      </c>
      <c r="H188" s="42" t="e">
        <f t="shared" si="51"/>
        <v>#N/A</v>
      </c>
      <c r="J188" s="45"/>
    </row>
    <row r="189" spans="3:10" x14ac:dyDescent="0.3">
      <c r="C189" s="20" t="str">
        <f t="shared" si="50"/>
        <v>Washing machine - Use eco programs for washing machine</v>
      </c>
      <c r="D189" s="84" t="s">
        <v>272</v>
      </c>
      <c r="E189" s="42" t="e">
        <f t="shared" si="51"/>
        <v>#N/A</v>
      </c>
      <c r="F189" s="42" t="e">
        <f t="shared" si="51"/>
        <v>#N/A</v>
      </c>
      <c r="G189" s="42" t="e">
        <f t="shared" si="51"/>
        <v>#N/A</v>
      </c>
      <c r="H189" s="42" t="e">
        <f t="shared" si="51"/>
        <v>#N/A</v>
      </c>
      <c r="J189" s="45"/>
    </row>
    <row r="190" spans="3:10" x14ac:dyDescent="0.3">
      <c r="C190" s="20" t="str">
        <f t="shared" si="50"/>
        <v>Washing machine - Using detergents allowing to wash laundry at 30 degrees</v>
      </c>
      <c r="D190" s="84" t="s">
        <v>272</v>
      </c>
      <c r="E190" s="42" t="e">
        <f t="shared" si="51"/>
        <v>#N/A</v>
      </c>
      <c r="F190" s="42" t="e">
        <f t="shared" si="51"/>
        <v>#N/A</v>
      </c>
      <c r="G190" s="42" t="e">
        <f t="shared" si="51"/>
        <v>#N/A</v>
      </c>
      <c r="H190" s="42" t="e">
        <f t="shared" si="51"/>
        <v>#N/A</v>
      </c>
      <c r="J190" s="45"/>
    </row>
    <row r="191" spans="3:10" x14ac:dyDescent="0.3">
      <c r="C191" s="20" t="str">
        <f t="shared" si="50"/>
        <v xml:space="preserve">Tumble dryer - Leave laundry to dry on a clothes horse </v>
      </c>
      <c r="D191" s="84" t="s">
        <v>272</v>
      </c>
      <c r="E191" s="42" t="e">
        <f t="shared" si="51"/>
        <v>#N/A</v>
      </c>
      <c r="F191" s="42" t="e">
        <f t="shared" si="51"/>
        <v>#N/A</v>
      </c>
      <c r="G191" s="42" t="e">
        <f t="shared" si="51"/>
        <v>#N/A</v>
      </c>
      <c r="H191" s="42" t="e">
        <f t="shared" si="51"/>
        <v>#N/A</v>
      </c>
      <c r="J191" s="45"/>
    </row>
    <row r="192" spans="3:10" x14ac:dyDescent="0.3">
      <c r="C192" s="20" t="str">
        <f t="shared" si="50"/>
        <v>Dish washer - Use eco programs for dish washer</v>
      </c>
      <c r="D192" s="84" t="s">
        <v>272</v>
      </c>
      <c r="E192" s="42" t="e">
        <f t="shared" si="51"/>
        <v>#N/A</v>
      </c>
      <c r="F192" s="42" t="e">
        <f t="shared" si="51"/>
        <v>#N/A</v>
      </c>
      <c r="G192" s="42" t="e">
        <f t="shared" si="51"/>
        <v>#N/A</v>
      </c>
      <c r="H192" s="42" t="e">
        <f t="shared" si="51"/>
        <v>#N/A</v>
      </c>
      <c r="J192" s="45"/>
    </row>
    <row r="193" spans="3:10" x14ac:dyDescent="0.3">
      <c r="C193" s="20" t="str">
        <f t="shared" si="50"/>
        <v>Standby - behavior change</v>
      </c>
      <c r="D193" s="84" t="s">
        <v>272</v>
      </c>
      <c r="E193" s="42" t="e">
        <f t="shared" si="51"/>
        <v>#N/A</v>
      </c>
      <c r="F193" s="42" t="e">
        <f t="shared" si="51"/>
        <v>#N/A</v>
      </c>
      <c r="G193" s="42" t="e">
        <f t="shared" si="51"/>
        <v>#N/A</v>
      </c>
      <c r="H193" s="42" t="e">
        <f t="shared" si="51"/>
        <v>#N/A</v>
      </c>
      <c r="J193" s="45"/>
    </row>
    <row r="195" spans="3:10" x14ac:dyDescent="0.3">
      <c r="C195" s="51" t="s">
        <v>546</v>
      </c>
      <c r="E195" s="208"/>
    </row>
    <row r="196" spans="3:10" x14ac:dyDescent="0.3">
      <c r="C196" s="209" t="str">
        <f>C187</f>
        <v>Lighting - Switching off light when absent</v>
      </c>
      <c r="D196" s="207" t="s">
        <v>69</v>
      </c>
      <c r="E196" s="42" t="e">
        <f>E187*$J130</f>
        <v>#N/A</v>
      </c>
      <c r="F196" s="42" t="e">
        <f t="shared" ref="F196:H196" si="52">F187*$J130</f>
        <v>#N/A</v>
      </c>
      <c r="G196" s="42" t="e">
        <f t="shared" si="52"/>
        <v>#N/A</v>
      </c>
      <c r="H196" s="42" t="e">
        <f t="shared" si="52"/>
        <v>#N/A</v>
      </c>
      <c r="J196" s="45" t="e">
        <f t="shared" ref="J196:J202" si="53">SUM(E196:H196)</f>
        <v>#N/A</v>
      </c>
    </row>
    <row r="197" spans="3:10" x14ac:dyDescent="0.3">
      <c r="C197" s="209" t="str">
        <f t="shared" ref="C197:C202" si="54">C188</f>
        <v>Washing machine - Washing without prewash</v>
      </c>
      <c r="D197" s="207" t="s">
        <v>69</v>
      </c>
      <c r="E197" s="42" t="e">
        <f t="shared" ref="E197:H202" si="55">E188*$J131</f>
        <v>#N/A</v>
      </c>
      <c r="F197" s="42" t="e">
        <f t="shared" si="55"/>
        <v>#N/A</v>
      </c>
      <c r="G197" s="42" t="e">
        <f t="shared" si="55"/>
        <v>#N/A</v>
      </c>
      <c r="H197" s="42" t="e">
        <f t="shared" si="55"/>
        <v>#N/A</v>
      </c>
      <c r="J197" s="45" t="e">
        <f t="shared" si="53"/>
        <v>#N/A</v>
      </c>
    </row>
    <row r="198" spans="3:10" x14ac:dyDescent="0.3">
      <c r="C198" s="209" t="str">
        <f t="shared" si="54"/>
        <v>Washing machine - Use eco programs for washing machine</v>
      </c>
      <c r="D198" s="207" t="s">
        <v>69</v>
      </c>
      <c r="E198" s="42" t="e">
        <f t="shared" si="55"/>
        <v>#N/A</v>
      </c>
      <c r="F198" s="42" t="e">
        <f t="shared" si="55"/>
        <v>#N/A</v>
      </c>
      <c r="G198" s="42" t="e">
        <f t="shared" si="55"/>
        <v>#N/A</v>
      </c>
      <c r="H198" s="42" t="e">
        <f t="shared" si="55"/>
        <v>#N/A</v>
      </c>
      <c r="J198" s="45" t="e">
        <f t="shared" si="53"/>
        <v>#N/A</v>
      </c>
    </row>
    <row r="199" spans="3:10" x14ac:dyDescent="0.3">
      <c r="C199" s="209" t="str">
        <f t="shared" si="54"/>
        <v>Washing machine - Using detergents allowing to wash laundry at 30 degrees</v>
      </c>
      <c r="D199" s="207" t="s">
        <v>69</v>
      </c>
      <c r="E199" s="42" t="e">
        <f t="shared" si="55"/>
        <v>#N/A</v>
      </c>
      <c r="F199" s="42" t="e">
        <f t="shared" si="55"/>
        <v>#N/A</v>
      </c>
      <c r="G199" s="42" t="e">
        <f t="shared" si="55"/>
        <v>#N/A</v>
      </c>
      <c r="H199" s="42" t="e">
        <f t="shared" si="55"/>
        <v>#N/A</v>
      </c>
      <c r="J199" s="45" t="e">
        <f t="shared" si="53"/>
        <v>#N/A</v>
      </c>
    </row>
    <row r="200" spans="3:10" x14ac:dyDescent="0.3">
      <c r="C200" s="209" t="str">
        <f t="shared" si="54"/>
        <v xml:space="preserve">Tumble dryer - Leave laundry to dry on a clothes horse </v>
      </c>
      <c r="D200" s="207" t="s">
        <v>69</v>
      </c>
      <c r="E200" s="42" t="e">
        <f t="shared" si="55"/>
        <v>#N/A</v>
      </c>
      <c r="F200" s="42" t="e">
        <f t="shared" si="55"/>
        <v>#N/A</v>
      </c>
      <c r="G200" s="42" t="e">
        <f t="shared" si="55"/>
        <v>#N/A</v>
      </c>
      <c r="H200" s="42" t="e">
        <f t="shared" si="55"/>
        <v>#N/A</v>
      </c>
      <c r="J200" s="45" t="e">
        <f t="shared" si="53"/>
        <v>#N/A</v>
      </c>
    </row>
    <row r="201" spans="3:10" x14ac:dyDescent="0.3">
      <c r="C201" s="209" t="str">
        <f t="shared" si="54"/>
        <v>Dish washer - Use eco programs for dish washer</v>
      </c>
      <c r="D201" s="207" t="s">
        <v>69</v>
      </c>
      <c r="E201" s="42" t="e">
        <f t="shared" si="55"/>
        <v>#N/A</v>
      </c>
      <c r="F201" s="42" t="e">
        <f t="shared" si="55"/>
        <v>#N/A</v>
      </c>
      <c r="G201" s="42" t="e">
        <f t="shared" si="55"/>
        <v>#N/A</v>
      </c>
      <c r="H201" s="42" t="e">
        <f t="shared" si="55"/>
        <v>#N/A</v>
      </c>
      <c r="J201" s="45" t="e">
        <f t="shared" si="53"/>
        <v>#N/A</v>
      </c>
    </row>
    <row r="202" spans="3:10" x14ac:dyDescent="0.3">
      <c r="C202" s="209" t="str">
        <f t="shared" si="54"/>
        <v>Standby - behavior change</v>
      </c>
      <c r="D202" s="207" t="s">
        <v>69</v>
      </c>
      <c r="E202" s="42" t="e">
        <f t="shared" si="55"/>
        <v>#N/A</v>
      </c>
      <c r="F202" s="42" t="e">
        <f t="shared" si="55"/>
        <v>#N/A</v>
      </c>
      <c r="G202" s="42" t="e">
        <f t="shared" si="55"/>
        <v>#N/A</v>
      </c>
      <c r="H202" s="42" t="e">
        <f t="shared" si="55"/>
        <v>#N/A</v>
      </c>
      <c r="J202" s="45" t="e">
        <f t="shared" si="53"/>
        <v>#N/A</v>
      </c>
    </row>
    <row r="203" spans="3:10" x14ac:dyDescent="0.3">
      <c r="J203" s="45"/>
    </row>
    <row r="204" spans="3:10" x14ac:dyDescent="0.3">
      <c r="C204" s="51" t="s">
        <v>547</v>
      </c>
    </row>
    <row r="205" spans="3:10" x14ac:dyDescent="0.3">
      <c r="C205" s="209" t="str">
        <f>C196</f>
        <v>Lighting - Switching off light when absent</v>
      </c>
      <c r="D205" s="207" t="s">
        <v>548</v>
      </c>
      <c r="E205" s="160" t="e">
        <f>E142*(M110+U110+AC110+AK110)</f>
        <v>#DIV/0!</v>
      </c>
      <c r="F205" s="160" t="e">
        <f t="shared" ref="F205:H205" si="56">F142*(N110+V110+AD110+AL110)</f>
        <v>#DIV/0!</v>
      </c>
      <c r="G205" s="160" t="e">
        <f t="shared" si="56"/>
        <v>#DIV/0!</v>
      </c>
      <c r="H205" s="160" t="e">
        <f t="shared" si="56"/>
        <v>#DIV/0!</v>
      </c>
    </row>
    <row r="206" spans="3:10" x14ac:dyDescent="0.3">
      <c r="C206" s="209" t="str">
        <f t="shared" ref="C206:C211" si="57">C197</f>
        <v>Washing machine - Washing without prewash</v>
      </c>
      <c r="D206" s="207" t="s">
        <v>548</v>
      </c>
      <c r="E206" s="160" t="e">
        <f t="shared" ref="E206:E211" si="58">E143*(M111+U111+AC111+AK111)</f>
        <v>#DIV/0!</v>
      </c>
      <c r="F206" s="160" t="e">
        <f t="shared" ref="F206:F211" si="59">F143*(N111+V111+AD111+AL111)</f>
        <v>#DIV/0!</v>
      </c>
      <c r="G206" s="160" t="e">
        <f t="shared" ref="G206:G211" si="60">G143*(O111+W111+AE111+AM111)</f>
        <v>#DIV/0!</v>
      </c>
      <c r="H206" s="160" t="e">
        <f t="shared" ref="H206:H211" si="61">H143*(P111+X111+AF111+AN111)</f>
        <v>#DIV/0!</v>
      </c>
    </row>
    <row r="207" spans="3:10" x14ac:dyDescent="0.3">
      <c r="C207" s="209" t="str">
        <f t="shared" si="57"/>
        <v>Washing machine - Use eco programs for washing machine</v>
      </c>
      <c r="D207" s="207" t="s">
        <v>548</v>
      </c>
      <c r="E207" s="160" t="e">
        <f t="shared" si="58"/>
        <v>#DIV/0!</v>
      </c>
      <c r="F207" s="160" t="e">
        <f t="shared" si="59"/>
        <v>#DIV/0!</v>
      </c>
      <c r="G207" s="160" t="e">
        <f t="shared" si="60"/>
        <v>#DIV/0!</v>
      </c>
      <c r="H207" s="160" t="e">
        <f t="shared" si="61"/>
        <v>#DIV/0!</v>
      </c>
    </row>
    <row r="208" spans="3:10" x14ac:dyDescent="0.3">
      <c r="C208" s="209" t="str">
        <f t="shared" si="57"/>
        <v>Washing machine - Using detergents allowing to wash laundry at 30 degrees</v>
      </c>
      <c r="D208" s="207" t="s">
        <v>548</v>
      </c>
      <c r="E208" s="160" t="e">
        <f t="shared" si="58"/>
        <v>#DIV/0!</v>
      </c>
      <c r="F208" s="160" t="e">
        <f t="shared" si="59"/>
        <v>#DIV/0!</v>
      </c>
      <c r="G208" s="160" t="e">
        <f t="shared" si="60"/>
        <v>#DIV/0!</v>
      </c>
      <c r="H208" s="160" t="e">
        <f t="shared" si="61"/>
        <v>#DIV/0!</v>
      </c>
    </row>
    <row r="209" spans="3:10" x14ac:dyDescent="0.3">
      <c r="C209" s="209" t="str">
        <f t="shared" si="57"/>
        <v xml:space="preserve">Tumble dryer - Leave laundry to dry on a clothes horse </v>
      </c>
      <c r="D209" s="207" t="s">
        <v>548</v>
      </c>
      <c r="E209" s="160" t="e">
        <f t="shared" si="58"/>
        <v>#DIV/0!</v>
      </c>
      <c r="F209" s="160" t="e">
        <f t="shared" si="59"/>
        <v>#DIV/0!</v>
      </c>
      <c r="G209" s="160" t="e">
        <f t="shared" si="60"/>
        <v>#DIV/0!</v>
      </c>
      <c r="H209" s="160" t="e">
        <f t="shared" si="61"/>
        <v>#DIV/0!</v>
      </c>
    </row>
    <row r="210" spans="3:10" x14ac:dyDescent="0.3">
      <c r="C210" s="209" t="str">
        <f t="shared" si="57"/>
        <v>Dish washer - Use eco programs for dish washer</v>
      </c>
      <c r="D210" s="207" t="s">
        <v>548</v>
      </c>
      <c r="E210" s="160" t="e">
        <f t="shared" si="58"/>
        <v>#DIV/0!</v>
      </c>
      <c r="F210" s="160" t="e">
        <f t="shared" si="59"/>
        <v>#DIV/0!</v>
      </c>
      <c r="G210" s="160" t="e">
        <f t="shared" si="60"/>
        <v>#DIV/0!</v>
      </c>
      <c r="H210" s="160" t="e">
        <f t="shared" si="61"/>
        <v>#DIV/0!</v>
      </c>
    </row>
    <row r="211" spans="3:10" x14ac:dyDescent="0.3">
      <c r="C211" s="209" t="str">
        <f t="shared" si="57"/>
        <v>Standby - behavior change</v>
      </c>
      <c r="D211" s="207" t="s">
        <v>548</v>
      </c>
      <c r="E211" s="160" t="e">
        <f t="shared" si="58"/>
        <v>#DIV/0!</v>
      </c>
      <c r="F211" s="160" t="e">
        <f t="shared" si="59"/>
        <v>#DIV/0!</v>
      </c>
      <c r="G211" s="160" t="e">
        <f t="shared" si="60"/>
        <v>#DIV/0!</v>
      </c>
      <c r="H211" s="160" t="e">
        <f t="shared" si="61"/>
        <v>#DIV/0!</v>
      </c>
    </row>
    <row r="213" spans="3:10" x14ac:dyDescent="0.3">
      <c r="C213" s="51" t="s">
        <v>549</v>
      </c>
    </row>
    <row r="214" spans="3:10" x14ac:dyDescent="0.3">
      <c r="C214" s="209" t="str">
        <f>C205</f>
        <v>Lighting - Switching off light when absent</v>
      </c>
      <c r="D214" s="207" t="s">
        <v>550</v>
      </c>
      <c r="E214" s="160" t="e">
        <f>E205*E$67</f>
        <v>#DIV/0!</v>
      </c>
      <c r="F214" s="160" t="e">
        <f t="shared" ref="F214:H214" si="62">F205*F$67</f>
        <v>#DIV/0!</v>
      </c>
      <c r="G214" s="160" t="e">
        <f t="shared" si="62"/>
        <v>#DIV/0!</v>
      </c>
      <c r="H214" s="160" t="e">
        <f t="shared" si="62"/>
        <v>#DIV/0!</v>
      </c>
      <c r="J214" s="200" t="e">
        <f t="shared" ref="J214:J220" si="63">SUM(E214:H214)</f>
        <v>#DIV/0!</v>
      </c>
    </row>
    <row r="215" spans="3:10" x14ac:dyDescent="0.3">
      <c r="C215" s="209" t="str">
        <f t="shared" ref="C215:C220" si="64">C206</f>
        <v>Washing machine - Washing without prewash</v>
      </c>
      <c r="D215" s="207" t="s">
        <v>550</v>
      </c>
      <c r="E215" s="160" t="e">
        <f t="shared" ref="E215:H220" si="65">E206*E$67</f>
        <v>#DIV/0!</v>
      </c>
      <c r="F215" s="160" t="e">
        <f t="shared" si="65"/>
        <v>#DIV/0!</v>
      </c>
      <c r="G215" s="160" t="e">
        <f t="shared" si="65"/>
        <v>#DIV/0!</v>
      </c>
      <c r="H215" s="160" t="e">
        <f t="shared" si="65"/>
        <v>#DIV/0!</v>
      </c>
      <c r="J215" s="200" t="e">
        <f t="shared" si="63"/>
        <v>#DIV/0!</v>
      </c>
    </row>
    <row r="216" spans="3:10" x14ac:dyDescent="0.3">
      <c r="C216" s="209" t="str">
        <f t="shared" si="64"/>
        <v>Washing machine - Use eco programs for washing machine</v>
      </c>
      <c r="D216" s="207" t="s">
        <v>550</v>
      </c>
      <c r="E216" s="160" t="e">
        <f t="shared" si="65"/>
        <v>#DIV/0!</v>
      </c>
      <c r="F216" s="160" t="e">
        <f t="shared" si="65"/>
        <v>#DIV/0!</v>
      </c>
      <c r="G216" s="160" t="e">
        <f t="shared" si="65"/>
        <v>#DIV/0!</v>
      </c>
      <c r="H216" s="160" t="e">
        <f t="shared" si="65"/>
        <v>#DIV/0!</v>
      </c>
      <c r="J216" s="200" t="e">
        <f t="shared" si="63"/>
        <v>#DIV/0!</v>
      </c>
    </row>
    <row r="217" spans="3:10" x14ac:dyDescent="0.3">
      <c r="C217" s="209" t="str">
        <f t="shared" si="64"/>
        <v>Washing machine - Using detergents allowing to wash laundry at 30 degrees</v>
      </c>
      <c r="D217" s="207" t="s">
        <v>550</v>
      </c>
      <c r="E217" s="160" t="e">
        <f t="shared" si="65"/>
        <v>#DIV/0!</v>
      </c>
      <c r="F217" s="160" t="e">
        <f t="shared" si="65"/>
        <v>#DIV/0!</v>
      </c>
      <c r="G217" s="160" t="e">
        <f t="shared" si="65"/>
        <v>#DIV/0!</v>
      </c>
      <c r="H217" s="160" t="e">
        <f t="shared" si="65"/>
        <v>#DIV/0!</v>
      </c>
      <c r="J217" s="200" t="e">
        <f t="shared" si="63"/>
        <v>#DIV/0!</v>
      </c>
    </row>
    <row r="218" spans="3:10" x14ac:dyDescent="0.3">
      <c r="C218" s="209" t="str">
        <f t="shared" si="64"/>
        <v xml:space="preserve">Tumble dryer - Leave laundry to dry on a clothes horse </v>
      </c>
      <c r="D218" s="207" t="s">
        <v>550</v>
      </c>
      <c r="E218" s="160" t="e">
        <f t="shared" si="65"/>
        <v>#DIV/0!</v>
      </c>
      <c r="F218" s="160" t="e">
        <f t="shared" si="65"/>
        <v>#DIV/0!</v>
      </c>
      <c r="G218" s="160" t="e">
        <f t="shared" si="65"/>
        <v>#DIV/0!</v>
      </c>
      <c r="H218" s="160" t="e">
        <f t="shared" si="65"/>
        <v>#DIV/0!</v>
      </c>
      <c r="J218" s="200" t="e">
        <f t="shared" si="63"/>
        <v>#DIV/0!</v>
      </c>
    </row>
    <row r="219" spans="3:10" x14ac:dyDescent="0.3">
      <c r="C219" s="209" t="str">
        <f t="shared" si="64"/>
        <v>Dish washer - Use eco programs for dish washer</v>
      </c>
      <c r="D219" s="207" t="s">
        <v>550</v>
      </c>
      <c r="E219" s="160" t="e">
        <f t="shared" si="65"/>
        <v>#DIV/0!</v>
      </c>
      <c r="F219" s="160" t="e">
        <f t="shared" si="65"/>
        <v>#DIV/0!</v>
      </c>
      <c r="G219" s="160" t="e">
        <f t="shared" si="65"/>
        <v>#DIV/0!</v>
      </c>
      <c r="H219" s="160" t="e">
        <f t="shared" si="65"/>
        <v>#DIV/0!</v>
      </c>
      <c r="J219" s="200" t="e">
        <f t="shared" si="63"/>
        <v>#DIV/0!</v>
      </c>
    </row>
    <row r="220" spans="3:10" x14ac:dyDescent="0.3">
      <c r="C220" s="209" t="str">
        <f t="shared" si="64"/>
        <v>Standby - behavior change</v>
      </c>
      <c r="D220" s="207" t="s">
        <v>550</v>
      </c>
      <c r="E220" s="160" t="e">
        <f t="shared" si="65"/>
        <v>#DIV/0!</v>
      </c>
      <c r="F220" s="160" t="e">
        <f t="shared" si="65"/>
        <v>#DIV/0!</v>
      </c>
      <c r="G220" s="160" t="e">
        <f t="shared" si="65"/>
        <v>#DIV/0!</v>
      </c>
      <c r="H220" s="160" t="e">
        <f t="shared" si="65"/>
        <v>#DIV/0!</v>
      </c>
      <c r="J220" s="200" t="e">
        <f t="shared" si="63"/>
        <v>#DIV/0!</v>
      </c>
    </row>
    <row r="221" spans="3:10" x14ac:dyDescent="0.3">
      <c r="J221" s="45"/>
    </row>
    <row r="222" spans="3:10" x14ac:dyDescent="0.3">
      <c r="C222" s="51" t="s">
        <v>537</v>
      </c>
      <c r="E222" s="159"/>
    </row>
    <row r="223" spans="3:10" x14ac:dyDescent="0.3">
      <c r="C223" s="209" t="str">
        <f t="shared" ref="C223:C229" si="66">C205</f>
        <v>Lighting - Switching off light when absent</v>
      </c>
      <c r="D223" s="207" t="s">
        <v>272</v>
      </c>
      <c r="E223" s="159" t="e">
        <f>E130*E142</f>
        <v>#DIV/0!</v>
      </c>
      <c r="F223" s="159" t="e">
        <f t="shared" ref="F223:H223" si="67">F130*F142</f>
        <v>#DIV/0!</v>
      </c>
      <c r="G223" s="159" t="e">
        <f t="shared" si="67"/>
        <v>#DIV/0!</v>
      </c>
      <c r="H223" s="159" t="e">
        <f t="shared" si="67"/>
        <v>#DIV/0!</v>
      </c>
    </row>
    <row r="224" spans="3:10" x14ac:dyDescent="0.3">
      <c r="C224" s="209" t="str">
        <f t="shared" si="66"/>
        <v>Washing machine - Washing without prewash</v>
      </c>
      <c r="D224" s="207" t="s">
        <v>272</v>
      </c>
      <c r="E224" s="159" t="e">
        <f t="shared" ref="E224:H224" si="68">E131*E143</f>
        <v>#DIV/0!</v>
      </c>
      <c r="F224" s="159" t="e">
        <f t="shared" si="68"/>
        <v>#DIV/0!</v>
      </c>
      <c r="G224" s="159" t="e">
        <f t="shared" si="68"/>
        <v>#DIV/0!</v>
      </c>
      <c r="H224" s="159" t="e">
        <f t="shared" si="68"/>
        <v>#DIV/0!</v>
      </c>
    </row>
    <row r="225" spans="3:10" x14ac:dyDescent="0.3">
      <c r="C225" s="209" t="str">
        <f t="shared" si="66"/>
        <v>Washing machine - Use eco programs for washing machine</v>
      </c>
      <c r="D225" s="207" t="s">
        <v>272</v>
      </c>
      <c r="E225" s="159" t="e">
        <f t="shared" ref="E225:H225" si="69">E132*E144</f>
        <v>#DIV/0!</v>
      </c>
      <c r="F225" s="159" t="e">
        <f t="shared" si="69"/>
        <v>#DIV/0!</v>
      </c>
      <c r="G225" s="159" t="e">
        <f t="shared" si="69"/>
        <v>#DIV/0!</v>
      </c>
      <c r="H225" s="159" t="e">
        <f t="shared" si="69"/>
        <v>#DIV/0!</v>
      </c>
    </row>
    <row r="226" spans="3:10" x14ac:dyDescent="0.3">
      <c r="C226" s="209" t="str">
        <f t="shared" si="66"/>
        <v>Washing machine - Using detergents allowing to wash laundry at 30 degrees</v>
      </c>
      <c r="D226" s="207" t="s">
        <v>272</v>
      </c>
      <c r="E226" s="159" t="e">
        <f t="shared" ref="E226:H226" si="70">E133*E145</f>
        <v>#DIV/0!</v>
      </c>
      <c r="F226" s="159" t="e">
        <f t="shared" si="70"/>
        <v>#DIV/0!</v>
      </c>
      <c r="G226" s="159" t="e">
        <f t="shared" si="70"/>
        <v>#DIV/0!</v>
      </c>
      <c r="H226" s="159" t="e">
        <f t="shared" si="70"/>
        <v>#DIV/0!</v>
      </c>
    </row>
    <row r="227" spans="3:10" x14ac:dyDescent="0.3">
      <c r="C227" s="209" t="str">
        <f t="shared" si="66"/>
        <v xml:space="preserve">Tumble dryer - Leave laundry to dry on a clothes horse </v>
      </c>
      <c r="D227" s="207" t="s">
        <v>272</v>
      </c>
      <c r="E227" s="159" t="e">
        <f t="shared" ref="E227:H227" si="71">E134*E146</f>
        <v>#DIV/0!</v>
      </c>
      <c r="F227" s="159" t="e">
        <f t="shared" si="71"/>
        <v>#DIV/0!</v>
      </c>
      <c r="G227" s="159" t="e">
        <f t="shared" si="71"/>
        <v>#DIV/0!</v>
      </c>
      <c r="H227" s="159" t="e">
        <f t="shared" si="71"/>
        <v>#DIV/0!</v>
      </c>
    </row>
    <row r="228" spans="3:10" x14ac:dyDescent="0.3">
      <c r="C228" s="209" t="str">
        <f t="shared" si="66"/>
        <v>Dish washer - Use eco programs for dish washer</v>
      </c>
      <c r="D228" s="207" t="s">
        <v>272</v>
      </c>
      <c r="E228" s="159" t="e">
        <f t="shared" ref="E228:H228" si="72">E135*E147</f>
        <v>#DIV/0!</v>
      </c>
      <c r="F228" s="159" t="e">
        <f t="shared" si="72"/>
        <v>#DIV/0!</v>
      </c>
      <c r="G228" s="159" t="e">
        <f t="shared" si="72"/>
        <v>#DIV/0!</v>
      </c>
      <c r="H228" s="159" t="e">
        <f t="shared" si="72"/>
        <v>#DIV/0!</v>
      </c>
    </row>
    <row r="229" spans="3:10" x14ac:dyDescent="0.3">
      <c r="C229" s="209" t="str">
        <f t="shared" si="66"/>
        <v>Standby - behavior change</v>
      </c>
      <c r="D229" s="207" t="s">
        <v>272</v>
      </c>
      <c r="E229" s="159" t="e">
        <f t="shared" ref="E229:H229" si="73">E136*E148</f>
        <v>#DIV/0!</v>
      </c>
      <c r="F229" s="159" t="e">
        <f t="shared" si="73"/>
        <v>#DIV/0!</v>
      </c>
      <c r="G229" s="159" t="e">
        <f t="shared" si="73"/>
        <v>#DIV/0!</v>
      </c>
      <c r="H229" s="159" t="e">
        <f t="shared" si="73"/>
        <v>#DIV/0!</v>
      </c>
    </row>
    <row r="231" spans="3:10" x14ac:dyDescent="0.3">
      <c r="C231" s="51" t="s">
        <v>551</v>
      </c>
    </row>
    <row r="232" spans="3:10" x14ac:dyDescent="0.3">
      <c r="C232" s="209" t="str">
        <f>C223</f>
        <v>Lighting - Switching off light when absent</v>
      </c>
      <c r="D232" s="207" t="s">
        <v>69</v>
      </c>
      <c r="E232" s="159" t="e">
        <f>E223*$J130</f>
        <v>#DIV/0!</v>
      </c>
      <c r="F232" s="159" t="e">
        <f t="shared" ref="F232:H232" si="74">F223*$J130</f>
        <v>#DIV/0!</v>
      </c>
      <c r="G232" s="159" t="e">
        <f t="shared" si="74"/>
        <v>#DIV/0!</v>
      </c>
      <c r="H232" s="159" t="e">
        <f t="shared" si="74"/>
        <v>#DIV/0!</v>
      </c>
      <c r="J232" s="200" t="e">
        <f t="shared" ref="J232:J238" si="75">SUM(E232:H232)</f>
        <v>#DIV/0!</v>
      </c>
    </row>
    <row r="233" spans="3:10" x14ac:dyDescent="0.3">
      <c r="C233" s="209" t="str">
        <f t="shared" ref="C233:C238" si="76">C224</f>
        <v>Washing machine - Washing without prewash</v>
      </c>
      <c r="D233" s="207" t="s">
        <v>69</v>
      </c>
      <c r="E233" s="159" t="e">
        <f t="shared" ref="E233:H233" si="77">E224*$J131</f>
        <v>#DIV/0!</v>
      </c>
      <c r="F233" s="159" t="e">
        <f t="shared" si="77"/>
        <v>#DIV/0!</v>
      </c>
      <c r="G233" s="159" t="e">
        <f t="shared" si="77"/>
        <v>#DIV/0!</v>
      </c>
      <c r="H233" s="159" t="e">
        <f t="shared" si="77"/>
        <v>#DIV/0!</v>
      </c>
      <c r="J233" s="200" t="e">
        <f t="shared" si="75"/>
        <v>#DIV/0!</v>
      </c>
    </row>
    <row r="234" spans="3:10" x14ac:dyDescent="0.3">
      <c r="C234" s="209" t="str">
        <f t="shared" si="76"/>
        <v>Washing machine - Use eco programs for washing machine</v>
      </c>
      <c r="D234" s="207" t="s">
        <v>69</v>
      </c>
      <c r="E234" s="159" t="e">
        <f t="shared" ref="E234:H234" si="78">E225*$J132</f>
        <v>#DIV/0!</v>
      </c>
      <c r="F234" s="159" t="e">
        <f t="shared" si="78"/>
        <v>#DIV/0!</v>
      </c>
      <c r="G234" s="159" t="e">
        <f t="shared" si="78"/>
        <v>#DIV/0!</v>
      </c>
      <c r="H234" s="159" t="e">
        <f t="shared" si="78"/>
        <v>#DIV/0!</v>
      </c>
      <c r="J234" s="200" t="e">
        <f t="shared" si="75"/>
        <v>#DIV/0!</v>
      </c>
    </row>
    <row r="235" spans="3:10" x14ac:dyDescent="0.3">
      <c r="C235" s="209" t="str">
        <f t="shared" si="76"/>
        <v>Washing machine - Using detergents allowing to wash laundry at 30 degrees</v>
      </c>
      <c r="D235" s="207" t="s">
        <v>69</v>
      </c>
      <c r="E235" s="159" t="e">
        <f t="shared" ref="E235:H235" si="79">E226*$J133</f>
        <v>#DIV/0!</v>
      </c>
      <c r="F235" s="159" t="e">
        <f t="shared" si="79"/>
        <v>#DIV/0!</v>
      </c>
      <c r="G235" s="159" t="e">
        <f t="shared" si="79"/>
        <v>#DIV/0!</v>
      </c>
      <c r="H235" s="159" t="e">
        <f t="shared" si="79"/>
        <v>#DIV/0!</v>
      </c>
      <c r="J235" s="200" t="e">
        <f t="shared" si="75"/>
        <v>#DIV/0!</v>
      </c>
    </row>
    <row r="236" spans="3:10" x14ac:dyDescent="0.3">
      <c r="C236" s="209" t="str">
        <f t="shared" si="76"/>
        <v xml:space="preserve">Tumble dryer - Leave laundry to dry on a clothes horse </v>
      </c>
      <c r="D236" s="207" t="s">
        <v>69</v>
      </c>
      <c r="E236" s="159" t="e">
        <f t="shared" ref="E236:H236" si="80">E227*$J134</f>
        <v>#DIV/0!</v>
      </c>
      <c r="F236" s="159" t="e">
        <f t="shared" si="80"/>
        <v>#DIV/0!</v>
      </c>
      <c r="G236" s="159" t="e">
        <f t="shared" si="80"/>
        <v>#DIV/0!</v>
      </c>
      <c r="H236" s="159" t="e">
        <f t="shared" si="80"/>
        <v>#DIV/0!</v>
      </c>
      <c r="J236" s="200" t="e">
        <f t="shared" si="75"/>
        <v>#DIV/0!</v>
      </c>
    </row>
    <row r="237" spans="3:10" x14ac:dyDescent="0.3">
      <c r="C237" s="209" t="str">
        <f t="shared" si="76"/>
        <v>Dish washer - Use eco programs for dish washer</v>
      </c>
      <c r="D237" s="207" t="s">
        <v>69</v>
      </c>
      <c r="E237" s="159" t="e">
        <f t="shared" ref="E237:H237" si="81">E228*$J135</f>
        <v>#DIV/0!</v>
      </c>
      <c r="F237" s="159" t="e">
        <f t="shared" si="81"/>
        <v>#DIV/0!</v>
      </c>
      <c r="G237" s="159" t="e">
        <f t="shared" si="81"/>
        <v>#DIV/0!</v>
      </c>
      <c r="H237" s="159" t="e">
        <f t="shared" si="81"/>
        <v>#DIV/0!</v>
      </c>
      <c r="J237" s="200" t="e">
        <f t="shared" si="75"/>
        <v>#DIV/0!</v>
      </c>
    </row>
    <row r="238" spans="3:10" x14ac:dyDescent="0.3">
      <c r="C238" s="209" t="str">
        <f t="shared" si="76"/>
        <v>Standby - behavior change</v>
      </c>
      <c r="D238" s="207" t="s">
        <v>69</v>
      </c>
      <c r="E238" s="159" t="e">
        <f t="shared" ref="E238:H238" si="82">E229*$J136</f>
        <v>#DIV/0!</v>
      </c>
      <c r="F238" s="159" t="e">
        <f t="shared" si="82"/>
        <v>#DIV/0!</v>
      </c>
      <c r="G238" s="159" t="e">
        <f t="shared" si="82"/>
        <v>#DIV/0!</v>
      </c>
      <c r="H238" s="159" t="e">
        <f t="shared" si="82"/>
        <v>#DIV/0!</v>
      </c>
      <c r="J238" s="200" t="e">
        <f t="shared" si="75"/>
        <v>#DIV/0!</v>
      </c>
    </row>
  </sheetData>
  <sheetProtection algorithmName="SHA-512" hashValue="CMEuQxv4GLlVd63AsDxOrS1teirpTtUup1lLCAWBVa7mIPyGdNIJUIAYuiOhyYZkqKyFoHOZxQUv+ky/x/lxww==" saltValue="Qr1MtV4h+0NwUW20a229iA==" spinCount="100000" sheet="1" objects="1" scenarios="1"/>
  <mergeCells count="6">
    <mergeCell ref="E140:F140"/>
    <mergeCell ref="G140:H140"/>
    <mergeCell ref="E6:F6"/>
    <mergeCell ref="G6:H6"/>
    <mergeCell ref="E80:F80"/>
    <mergeCell ref="G80:H80"/>
  </mergeCells>
  <phoneticPr fontId="21" type="noConversion"/>
  <hyperlinks>
    <hyperlink ref="N36" r:id="rId1" xr:uid="{B26BF480-4CBF-49CE-B31A-B767AA749C68}"/>
    <hyperlink ref="N53" r:id="rId2" xr:uid="{195E6EF6-5CAF-48A4-A077-D9E64A0DE70D}"/>
    <hyperlink ref="N39" r:id="rId3" xr:uid="{E3DFF179-C694-4744-8515-C1DAB41ECA1D}"/>
    <hyperlink ref="N56" r:id="rId4" xr:uid="{79BA2C81-5C2A-428F-A6A7-AF06AAE41D10}"/>
    <hyperlink ref="N48" r:id="rId5" xr:uid="{DF303E9D-A5D6-426B-8573-74AD2EE7B81F}"/>
    <hyperlink ref="N50" r:id="rId6" xr:uid="{CB702B77-13FA-4DAF-B4E5-895B1EBDBEFB}"/>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8AE35-7C78-43E6-87B2-EFF5AFA39D4C}">
  <sheetPr>
    <tabColor theme="7" tint="0.59999389629810485"/>
  </sheetPr>
  <dimension ref="B2:AN181"/>
  <sheetViews>
    <sheetView zoomScaleNormal="100" workbookViewId="0">
      <pane ySplit="7" topLeftCell="A8" activePane="bottomLeft" state="frozen"/>
      <selection activeCell="B1" sqref="B1"/>
      <selection pane="bottomLeft" activeCell="C2" sqref="C2"/>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35" width="8.85546875" style="17"/>
    <col min="36" max="36" width="11.5703125" style="17" bestFit="1" customWidth="1"/>
    <col min="37" max="16384" width="8.85546875" style="17"/>
  </cols>
  <sheetData>
    <row r="2" spans="2:15" s="16" customFormat="1" ht="17.25" x14ac:dyDescent="0.3">
      <c r="C2" s="16" t="s">
        <v>145</v>
      </c>
      <c r="D2" s="16" t="s">
        <v>146</v>
      </c>
      <c r="M2" s="201"/>
    </row>
    <row r="3" spans="2:15" x14ac:dyDescent="0.3">
      <c r="M3" s="169"/>
    </row>
    <row r="4" spans="2:15" ht="20.25" x14ac:dyDescent="0.35">
      <c r="B4" s="77"/>
      <c r="C4" s="81" t="s">
        <v>839</v>
      </c>
      <c r="D4" s="76"/>
    </row>
    <row r="5" spans="2:15" s="18" customFormat="1" ht="17.25" thickBot="1" x14ac:dyDescent="0.35">
      <c r="B5" s="19" t="s">
        <v>153</v>
      </c>
      <c r="C5" s="19" t="s">
        <v>154</v>
      </c>
      <c r="D5" s="19" t="s">
        <v>32</v>
      </c>
      <c r="E5" s="19" t="s">
        <v>155</v>
      </c>
      <c r="F5" s="19"/>
      <c r="G5" s="19" t="s">
        <v>155</v>
      </c>
      <c r="H5" s="19"/>
      <c r="I5" s="19"/>
      <c r="J5" s="56" t="s">
        <v>156</v>
      </c>
      <c r="K5" s="56"/>
    </row>
    <row r="6" spans="2:15" s="30" customFormat="1" ht="18" thickTop="1" thickBot="1" x14ac:dyDescent="0.35">
      <c r="B6" s="28"/>
      <c r="C6" s="29" t="s">
        <v>157</v>
      </c>
      <c r="D6" s="29"/>
      <c r="E6" s="335" t="s">
        <v>5</v>
      </c>
      <c r="F6" s="335"/>
      <c r="G6" s="335" t="s">
        <v>6</v>
      </c>
      <c r="H6" s="335"/>
      <c r="I6" s="28"/>
      <c r="J6" s="28"/>
      <c r="K6" s="57"/>
    </row>
    <row r="7" spans="2:15" ht="18" thickTop="1" thickBot="1" x14ac:dyDescent="0.35">
      <c r="B7" s="19"/>
      <c r="C7" s="29" t="s">
        <v>158</v>
      </c>
      <c r="D7" s="29"/>
      <c r="E7" s="29" t="s">
        <v>7</v>
      </c>
      <c r="F7" s="29" t="s">
        <v>8</v>
      </c>
      <c r="G7" s="29" t="s">
        <v>7</v>
      </c>
      <c r="H7" s="29" t="s">
        <v>8</v>
      </c>
      <c r="I7" s="19"/>
      <c r="J7" s="19"/>
      <c r="K7" s="56"/>
    </row>
    <row r="8" spans="2:15" ht="17.25" thickTop="1" x14ac:dyDescent="0.3">
      <c r="C8" s="49" t="s">
        <v>717</v>
      </c>
    </row>
    <row r="9" spans="2:15" x14ac:dyDescent="0.3">
      <c r="C9" s="20" t="s">
        <v>111</v>
      </c>
      <c r="D9" s="15" t="s">
        <v>188</v>
      </c>
      <c r="E9" s="25">
        <v>30</v>
      </c>
      <c r="F9" s="128" t="s">
        <v>825</v>
      </c>
      <c r="J9" s="26">
        <v>75</v>
      </c>
      <c r="K9" s="129" t="s">
        <v>835</v>
      </c>
      <c r="L9" s="26">
        <v>85</v>
      </c>
      <c r="M9" s="26" t="s">
        <v>188</v>
      </c>
    </row>
    <row r="10" spans="2:15" x14ac:dyDescent="0.3">
      <c r="C10" s="84" t="s">
        <v>112</v>
      </c>
      <c r="D10" s="15" t="s">
        <v>188</v>
      </c>
      <c r="E10" s="131">
        <v>30</v>
      </c>
      <c r="F10" s="128" t="s">
        <v>837</v>
      </c>
      <c r="J10" s="26">
        <v>25</v>
      </c>
      <c r="K10" s="129" t="s">
        <v>835</v>
      </c>
      <c r="L10" s="26">
        <v>45</v>
      </c>
      <c r="M10" s="26" t="s">
        <v>188</v>
      </c>
      <c r="N10" s="20"/>
      <c r="O10" s="20"/>
    </row>
    <row r="11" spans="2:15" x14ac:dyDescent="0.3">
      <c r="C11" s="96" t="s">
        <v>113</v>
      </c>
      <c r="D11" s="15" t="s">
        <v>188</v>
      </c>
      <c r="E11" s="41">
        <f>'eDevices_general+behavior'!E62/'eDevices_general+behavior'!E52</f>
        <v>0.13100584859854336</v>
      </c>
      <c r="F11" s="41"/>
      <c r="G11" s="41"/>
      <c r="H11" s="41"/>
      <c r="J11" s="26"/>
      <c r="K11" s="129"/>
      <c r="L11" s="26"/>
      <c r="M11" s="26"/>
      <c r="N11" s="36"/>
      <c r="O11" s="36"/>
    </row>
    <row r="12" spans="2:15" x14ac:dyDescent="0.3">
      <c r="C12" s="96"/>
      <c r="M12" s="36"/>
      <c r="N12" s="36"/>
      <c r="O12" s="36"/>
    </row>
    <row r="13" spans="2:15" x14ac:dyDescent="0.3">
      <c r="C13" s="51" t="s">
        <v>724</v>
      </c>
      <c r="J13" s="17" t="s">
        <v>478</v>
      </c>
      <c r="K13" s="17" t="s">
        <v>479</v>
      </c>
    </row>
    <row r="14" spans="2:15" x14ac:dyDescent="0.3">
      <c r="C14" s="20" t="s">
        <v>111</v>
      </c>
      <c r="D14" s="15" t="s">
        <v>191</v>
      </c>
      <c r="E14" s="42">
        <f>$E9%*'eDevices_general+behavior'!E8</f>
        <v>138</v>
      </c>
      <c r="F14" s="42">
        <f>$E9%*'eDevices_general+behavior'!F8</f>
        <v>138</v>
      </c>
      <c r="G14" s="42">
        <f>$E9%*'eDevices_general+behavior'!G8</f>
        <v>73.928571428571416</v>
      </c>
      <c r="H14" s="42">
        <f>$E9%*'eDevices_general+behavior'!H8</f>
        <v>73.928571428571416</v>
      </c>
      <c r="J14" s="45">
        <f>AVERAGE(E14:H14)</f>
        <v>105.96428571428572</v>
      </c>
      <c r="K14" s="45" t="e">
        <f>AVERAGEIFS($E14:$H14,$J94:$M94,"yes")</f>
        <v>#DIV/0!</v>
      </c>
    </row>
    <row r="15" spans="2:15" x14ac:dyDescent="0.3">
      <c r="C15" s="84" t="s">
        <v>112</v>
      </c>
      <c r="D15" s="15" t="s">
        <v>191</v>
      </c>
      <c r="E15" s="42">
        <f>$E10%*'eDevices_general+behavior'!E31</f>
        <v>60</v>
      </c>
      <c r="F15" s="42">
        <f>$E10%*'eDevices_general+behavior'!F31</f>
        <v>60</v>
      </c>
      <c r="G15" s="42">
        <f>$E10%*'eDevices_general+behavior'!G31</f>
        <v>45</v>
      </c>
      <c r="H15" s="42">
        <f>$E10%*'eDevices_general+behavior'!H31</f>
        <v>45</v>
      </c>
      <c r="J15" s="45">
        <f t="shared" ref="J15:J16" si="0">AVERAGE(E15:H15)</f>
        <v>52.5</v>
      </c>
      <c r="K15" s="45" t="e">
        <f>AVERAGEIFS($E15:$H15,$J95:$M95,"yes")</f>
        <v>#DIV/0!</v>
      </c>
    </row>
    <row r="16" spans="2:15" x14ac:dyDescent="0.3">
      <c r="C16" s="96" t="s">
        <v>113</v>
      </c>
      <c r="D16" s="15" t="s">
        <v>191</v>
      </c>
      <c r="E16" s="55">
        <f>'eDevices_general+behavior'!E62</f>
        <v>48.883676470588235</v>
      </c>
      <c r="F16" s="55">
        <f>'eDevices_general+behavior'!F62</f>
        <v>28.539529411764711</v>
      </c>
      <c r="G16" s="55">
        <f>'eDevices_general+behavior'!G62</f>
        <v>38.498823529411766</v>
      </c>
      <c r="H16" s="55">
        <f>'eDevices_general+behavior'!H62</f>
        <v>20.964705882352941</v>
      </c>
      <c r="J16" s="45">
        <f t="shared" si="0"/>
        <v>34.221683823529411</v>
      </c>
      <c r="K16" s="45" t="e">
        <f>AVERAGEIFS($E16:$H16,$J96:$M96,"yes")</f>
        <v>#DIV/0!</v>
      </c>
    </row>
    <row r="17" spans="2:24" x14ac:dyDescent="0.3">
      <c r="C17" s="84"/>
    </row>
    <row r="18" spans="2:24" ht="20.25" x14ac:dyDescent="0.35">
      <c r="C18" s="81" t="s">
        <v>578</v>
      </c>
    </row>
    <row r="19" spans="2:24" s="18" customFormat="1" ht="17.25" thickBot="1" x14ac:dyDescent="0.35">
      <c r="B19" s="19" t="s">
        <v>153</v>
      </c>
      <c r="C19" s="19" t="s">
        <v>154</v>
      </c>
      <c r="D19" s="19" t="s">
        <v>32</v>
      </c>
      <c r="E19" s="19" t="s">
        <v>155</v>
      </c>
      <c r="F19" s="19"/>
      <c r="G19" s="19" t="s">
        <v>155</v>
      </c>
      <c r="H19" s="19"/>
      <c r="I19" s="19"/>
      <c r="J19" s="56" t="s">
        <v>156</v>
      </c>
      <c r="K19" s="56"/>
    </row>
    <row r="20" spans="2:24" s="30" customFormat="1" ht="18" thickTop="1" thickBot="1" x14ac:dyDescent="0.35">
      <c r="B20" s="28"/>
      <c r="C20" s="29" t="s">
        <v>157</v>
      </c>
      <c r="D20" s="29"/>
      <c r="E20" s="335" t="s">
        <v>5</v>
      </c>
      <c r="F20" s="335"/>
      <c r="G20" s="335" t="s">
        <v>6</v>
      </c>
      <c r="H20" s="335"/>
      <c r="I20" s="28"/>
      <c r="J20" s="28"/>
      <c r="K20" s="57"/>
      <c r="M20" s="20"/>
      <c r="V20" s="18"/>
      <c r="W20" s="18"/>
      <c r="X20" s="18"/>
    </row>
    <row r="21" spans="2:24" ht="18" thickTop="1" thickBot="1" x14ac:dyDescent="0.35">
      <c r="B21" s="19"/>
      <c r="C21" s="29" t="s">
        <v>158</v>
      </c>
      <c r="D21" s="29"/>
      <c r="E21" s="29" t="s">
        <v>7</v>
      </c>
      <c r="F21" s="29" t="s">
        <v>8</v>
      </c>
      <c r="G21" s="29" t="s">
        <v>7</v>
      </c>
      <c r="H21" s="29" t="s">
        <v>8</v>
      </c>
      <c r="I21" s="19"/>
      <c r="J21" s="19" t="s">
        <v>482</v>
      </c>
      <c r="K21" s="56" t="s">
        <v>483</v>
      </c>
      <c r="M21" s="82"/>
      <c r="N21" s="82"/>
      <c r="V21" s="18"/>
      <c r="W21" s="18"/>
      <c r="X21" s="18"/>
    </row>
    <row r="22" spans="2:24" ht="17.25" thickTop="1" x14ac:dyDescent="0.3">
      <c r="C22" s="27" t="s">
        <v>111</v>
      </c>
      <c r="D22" s="84"/>
      <c r="E22" s="91"/>
      <c r="F22" s="91"/>
      <c r="G22" s="91"/>
      <c r="H22" s="91"/>
      <c r="V22" s="18"/>
      <c r="W22" s="18"/>
      <c r="X22" s="18"/>
    </row>
    <row r="23" spans="2:24" customFormat="1" x14ac:dyDescent="0.3">
      <c r="C23" s="15" t="s">
        <v>484</v>
      </c>
      <c r="D23" s="15" t="s">
        <v>485</v>
      </c>
      <c r="E23" s="38">
        <v>1.5</v>
      </c>
      <c r="F23" s="97">
        <f>E23</f>
        <v>1.5</v>
      </c>
      <c r="G23" s="38">
        <v>1</v>
      </c>
      <c r="H23" s="97">
        <f t="shared" ref="H23" si="1">G23</f>
        <v>1</v>
      </c>
      <c r="J23" s="83" t="s">
        <v>657</v>
      </c>
      <c r="K23" s="15" t="s">
        <v>485</v>
      </c>
      <c r="O23" s="17"/>
      <c r="R23" s="17"/>
      <c r="S23" s="17"/>
      <c r="T23" s="17"/>
      <c r="U23" s="17"/>
      <c r="V23" s="18"/>
      <c r="W23" s="18"/>
      <c r="X23" s="18"/>
    </row>
    <row r="24" spans="2:24" customFormat="1" x14ac:dyDescent="0.3">
      <c r="C24" s="15" t="s">
        <v>738</v>
      </c>
      <c r="D24" s="15" t="s">
        <v>485</v>
      </c>
      <c r="E24" s="38">
        <v>1.5</v>
      </c>
      <c r="F24" s="97">
        <f>E24</f>
        <v>1.5</v>
      </c>
      <c r="G24" s="38">
        <v>1</v>
      </c>
      <c r="H24" s="97">
        <f t="shared" ref="H24" si="2">G24</f>
        <v>1</v>
      </c>
      <c r="J24" s="83" t="s">
        <v>657</v>
      </c>
      <c r="K24" s="15" t="s">
        <v>485</v>
      </c>
      <c r="O24" s="17"/>
      <c r="R24" s="17"/>
      <c r="S24" s="17"/>
      <c r="T24" s="17"/>
      <c r="U24" s="17"/>
      <c r="V24" s="18"/>
      <c r="W24" s="18"/>
      <c r="X24" s="18"/>
    </row>
    <row r="25" spans="2:24" customFormat="1" x14ac:dyDescent="0.3">
      <c r="C25" s="15" t="s">
        <v>740</v>
      </c>
      <c r="D25" s="15" t="s">
        <v>485</v>
      </c>
      <c r="E25" s="97">
        <f>SUM(E23:E24)</f>
        <v>3</v>
      </c>
      <c r="F25" s="97">
        <f t="shared" ref="F25:H25" si="3">SUM(F23:F24)</f>
        <v>3</v>
      </c>
      <c r="G25" s="97">
        <f t="shared" si="3"/>
        <v>2</v>
      </c>
      <c r="H25" s="97">
        <f t="shared" si="3"/>
        <v>2</v>
      </c>
      <c r="O25" s="17"/>
      <c r="T25" s="17"/>
      <c r="U25" s="17"/>
      <c r="V25" s="18"/>
      <c r="W25" s="18"/>
      <c r="X25" s="18"/>
    </row>
    <row r="26" spans="2:24" customFormat="1" x14ac:dyDescent="0.3">
      <c r="C26" s="15" t="s">
        <v>489</v>
      </c>
      <c r="D26" s="15" t="s">
        <v>485</v>
      </c>
      <c r="E26" s="38">
        <v>1.5</v>
      </c>
      <c r="F26" s="97">
        <f>E26</f>
        <v>1.5</v>
      </c>
      <c r="G26" s="38">
        <v>1</v>
      </c>
      <c r="H26" s="97">
        <f t="shared" ref="H26" si="4">G26</f>
        <v>1</v>
      </c>
      <c r="I26" s="17"/>
      <c r="J26" s="83" t="s">
        <v>657</v>
      </c>
      <c r="K26" s="15" t="s">
        <v>485</v>
      </c>
      <c r="M26" s="26"/>
      <c r="O26" s="17"/>
      <c r="T26" s="17"/>
      <c r="U26" s="17"/>
      <c r="V26" s="18"/>
      <c r="W26" s="18"/>
      <c r="X26" s="18"/>
    </row>
    <row r="27" spans="2:24" customFormat="1" x14ac:dyDescent="0.3">
      <c r="C27" s="105" t="s">
        <v>491</v>
      </c>
      <c r="D27" s="15" t="s">
        <v>485</v>
      </c>
      <c r="E27" s="97">
        <f>E25+E26</f>
        <v>4.5</v>
      </c>
      <c r="F27" s="97">
        <f t="shared" ref="F27:H27" si="5">F25+F26</f>
        <v>4.5</v>
      </c>
      <c r="G27" s="97">
        <f t="shared" si="5"/>
        <v>3</v>
      </c>
      <c r="H27" s="97">
        <f t="shared" si="5"/>
        <v>3</v>
      </c>
      <c r="I27" s="17"/>
      <c r="K27" s="15"/>
      <c r="O27" s="17"/>
      <c r="R27" s="17"/>
      <c r="S27" s="17"/>
      <c r="T27" s="17"/>
      <c r="U27" s="17"/>
      <c r="V27" s="18"/>
      <c r="W27" s="18"/>
      <c r="X27" s="18"/>
    </row>
    <row r="28" spans="2:24" customFormat="1" x14ac:dyDescent="0.3">
      <c r="C28" s="15" t="s">
        <v>492</v>
      </c>
      <c r="D28" s="15" t="s">
        <v>493</v>
      </c>
      <c r="E28" s="25">
        <v>15</v>
      </c>
      <c r="F28" s="42">
        <f>E28</f>
        <v>15</v>
      </c>
      <c r="G28" s="42">
        <f t="shared" ref="G28:H31" si="6">F28</f>
        <v>15</v>
      </c>
      <c r="H28" s="42">
        <f t="shared" si="6"/>
        <v>15</v>
      </c>
      <c r="I28" s="17"/>
      <c r="J28" s="83" t="s">
        <v>494</v>
      </c>
      <c r="K28" s="15" t="s">
        <v>493</v>
      </c>
      <c r="M28" s="26" t="s">
        <v>495</v>
      </c>
      <c r="N28" s="17"/>
      <c r="O28" s="17"/>
      <c r="R28" s="17"/>
      <c r="S28" s="17"/>
      <c r="T28" s="17"/>
      <c r="U28" s="17"/>
      <c r="V28" s="18"/>
      <c r="W28" s="18"/>
      <c r="X28" s="18"/>
    </row>
    <row r="29" spans="2:24" customFormat="1" x14ac:dyDescent="0.3">
      <c r="C29" s="105" t="s">
        <v>496</v>
      </c>
      <c r="D29" s="15" t="s">
        <v>69</v>
      </c>
      <c r="E29" s="42">
        <f>E27*E28</f>
        <v>67.5</v>
      </c>
      <c r="F29" s="42">
        <f t="shared" ref="F29:H29" si="7">F27*F28</f>
        <v>67.5</v>
      </c>
      <c r="G29" s="42">
        <f t="shared" si="7"/>
        <v>45</v>
      </c>
      <c r="H29" s="42">
        <f t="shared" si="7"/>
        <v>45</v>
      </c>
      <c r="I29" s="17"/>
      <c r="K29" s="15"/>
      <c r="O29" s="17"/>
      <c r="R29" s="17"/>
      <c r="S29" s="17"/>
      <c r="T29" s="17"/>
      <c r="U29" s="17"/>
      <c r="V29" s="18"/>
      <c r="W29" s="18"/>
      <c r="X29" s="18"/>
    </row>
    <row r="30" spans="2:24" customFormat="1" x14ac:dyDescent="0.3">
      <c r="C30" s="15" t="s">
        <v>840</v>
      </c>
      <c r="D30" s="17" t="s">
        <v>166</v>
      </c>
      <c r="E30" s="25">
        <v>10</v>
      </c>
      <c r="F30" s="42">
        <f>E30</f>
        <v>10</v>
      </c>
      <c r="G30" s="25">
        <v>6</v>
      </c>
      <c r="H30" s="42">
        <f t="shared" ref="H30" si="8">G30</f>
        <v>6</v>
      </c>
      <c r="I30" s="42"/>
      <c r="J30" s="83" t="s">
        <v>841</v>
      </c>
      <c r="K30" s="83" t="s">
        <v>842</v>
      </c>
      <c r="L30" s="15" t="s">
        <v>610</v>
      </c>
      <c r="O30" s="17"/>
      <c r="R30" s="17"/>
      <c r="S30" s="17"/>
      <c r="T30" s="17"/>
      <c r="U30" s="17"/>
      <c r="V30" s="18"/>
      <c r="W30" s="18"/>
      <c r="X30" s="18"/>
    </row>
    <row r="31" spans="2:24" customFormat="1" x14ac:dyDescent="0.3">
      <c r="C31" s="15" t="s">
        <v>843</v>
      </c>
      <c r="D31" s="15" t="s">
        <v>744</v>
      </c>
      <c r="E31" s="38">
        <v>3</v>
      </c>
      <c r="F31" s="97">
        <f>E31</f>
        <v>3</v>
      </c>
      <c r="G31" s="97">
        <f t="shared" si="6"/>
        <v>3</v>
      </c>
      <c r="H31" s="97">
        <f t="shared" si="6"/>
        <v>3</v>
      </c>
      <c r="I31" s="17"/>
      <c r="J31" s="83" t="s">
        <v>586</v>
      </c>
      <c r="K31" s="83" t="s">
        <v>586</v>
      </c>
      <c r="L31" s="15" t="s">
        <v>844</v>
      </c>
      <c r="O31" s="17"/>
      <c r="R31" s="17"/>
      <c r="S31" s="17"/>
      <c r="T31" s="17"/>
      <c r="U31" s="17"/>
      <c r="V31" s="18"/>
      <c r="W31" s="18"/>
      <c r="X31" s="18"/>
    </row>
    <row r="32" spans="2:24" customFormat="1" x14ac:dyDescent="0.3">
      <c r="C32" s="105" t="s">
        <v>501</v>
      </c>
      <c r="D32" s="15" t="s">
        <v>69</v>
      </c>
      <c r="E32" s="42">
        <f>E30*E31</f>
        <v>30</v>
      </c>
      <c r="F32" s="42">
        <f t="shared" ref="F32:H32" si="9">F30*F31</f>
        <v>30</v>
      </c>
      <c r="G32" s="42">
        <f t="shared" si="9"/>
        <v>18</v>
      </c>
      <c r="H32" s="42">
        <f t="shared" si="9"/>
        <v>18</v>
      </c>
      <c r="I32" s="42"/>
      <c r="R32" s="17"/>
      <c r="S32" s="17"/>
      <c r="T32" s="17"/>
      <c r="U32" s="17"/>
      <c r="V32" s="18"/>
      <c r="W32" s="18"/>
      <c r="X32" s="18"/>
    </row>
    <row r="33" spans="3:24" s="135" customFormat="1" x14ac:dyDescent="0.3">
      <c r="C33" s="133" t="s">
        <v>503</v>
      </c>
      <c r="D33" s="133" t="s">
        <v>69</v>
      </c>
      <c r="E33" s="134">
        <f>E29+E32</f>
        <v>97.5</v>
      </c>
      <c r="F33" s="134">
        <f>F29+F32</f>
        <v>97.5</v>
      </c>
      <c r="G33" s="134">
        <f>G29+G32</f>
        <v>63</v>
      </c>
      <c r="H33" s="134">
        <f>H29+H32</f>
        <v>63</v>
      </c>
      <c r="V33" s="18"/>
      <c r="W33" s="18"/>
      <c r="X33" s="18"/>
    </row>
    <row r="34" spans="3:24" x14ac:dyDescent="0.3">
      <c r="C34" s="133" t="s">
        <v>504</v>
      </c>
      <c r="D34" s="84" t="s">
        <v>505</v>
      </c>
      <c r="E34" s="25">
        <v>0</v>
      </c>
      <c r="F34" s="91">
        <f>E34</f>
        <v>0</v>
      </c>
      <c r="G34" s="25">
        <v>0</v>
      </c>
      <c r="H34" s="91">
        <f t="shared" ref="H34" si="10">G34</f>
        <v>0</v>
      </c>
      <c r="J34" s="83">
        <v>0</v>
      </c>
      <c r="K34" s="84" t="s">
        <v>505</v>
      </c>
      <c r="M34" s="26"/>
      <c r="V34" s="18"/>
      <c r="W34" s="18"/>
      <c r="X34" s="18"/>
    </row>
    <row r="35" spans="3:24" x14ac:dyDescent="0.3">
      <c r="C35" s="84" t="s">
        <v>508</v>
      </c>
      <c r="D35" s="84" t="s">
        <v>301</v>
      </c>
      <c r="E35" s="94">
        <f>'Model homes'!E$171</f>
        <v>0.02</v>
      </c>
      <c r="F35" s="91"/>
      <c r="G35" s="91"/>
      <c r="H35" s="91"/>
      <c r="V35" s="18"/>
      <c r="W35" s="18"/>
      <c r="X35" s="18"/>
    </row>
    <row r="36" spans="3:24" x14ac:dyDescent="0.3">
      <c r="C36" s="84" t="s">
        <v>509</v>
      </c>
      <c r="D36" s="84" t="s">
        <v>301</v>
      </c>
      <c r="E36" s="63">
        <f>IF($E35=E$38,1,(1-(((1+$E35)/(1+E$38))^E39))/(E38-$E35))</f>
        <v>12.63435432014553</v>
      </c>
      <c r="F36" s="63">
        <f>IF($E35=F$38,1,(1-(((1+$E35)/(1+F$38))^F39))/(F38-$E35))</f>
        <v>17.293416916206461</v>
      </c>
      <c r="G36" s="63">
        <f>IF($E35=G$38,1,(1-(((1+$E35)/(1+G$38))^G39))/(G38-$E35))</f>
        <v>17.293416916206461</v>
      </c>
      <c r="H36" s="63">
        <f>IF($E35=H$38,1,(1-(((1+$E35)/(1+H$38))^H39))/(H38-$E35))</f>
        <v>17.293416916206461</v>
      </c>
      <c r="V36" s="18"/>
      <c r="W36" s="18"/>
      <c r="X36" s="18"/>
    </row>
    <row r="37" spans="3:24" x14ac:dyDescent="0.3">
      <c r="C37" s="84" t="s">
        <v>510</v>
      </c>
      <c r="D37" s="84" t="s">
        <v>505</v>
      </c>
      <c r="E37" s="63">
        <f>-PMT(E38,E39,E34*E36)</f>
        <v>0</v>
      </c>
      <c r="F37" s="63">
        <f>-PMT(F38,F39,F34*F36)</f>
        <v>0</v>
      </c>
      <c r="G37" s="63">
        <f>-PMT(G38,G39,G34*G36)</f>
        <v>0</v>
      </c>
      <c r="H37" s="63">
        <f>-PMT(H38,H39,H34*H36)</f>
        <v>0</v>
      </c>
      <c r="V37" s="18"/>
      <c r="W37" s="18"/>
      <c r="X37" s="18"/>
    </row>
    <row r="38" spans="3:24" x14ac:dyDescent="0.3">
      <c r="C38" s="84" t="s">
        <v>302</v>
      </c>
      <c r="D38" s="84" t="s">
        <v>301</v>
      </c>
      <c r="E38" s="94">
        <f>'Model homes'!E$169</f>
        <v>0.04</v>
      </c>
      <c r="F38" s="94">
        <f>'Model homes'!F169</f>
        <v>0</v>
      </c>
      <c r="G38" s="94">
        <f>'Model homes'!G169</f>
        <v>0</v>
      </c>
      <c r="H38" s="94">
        <f>'Model homes'!H169</f>
        <v>0</v>
      </c>
      <c r="V38" s="18"/>
      <c r="W38" s="18"/>
      <c r="X38" s="18"/>
    </row>
    <row r="39" spans="3:24" x14ac:dyDescent="0.3">
      <c r="C39" s="133" t="s">
        <v>511</v>
      </c>
      <c r="D39" s="84" t="s">
        <v>512</v>
      </c>
      <c r="E39" s="25">
        <v>15</v>
      </c>
      <c r="F39" s="91">
        <f>E39</f>
        <v>15</v>
      </c>
      <c r="G39" s="91">
        <f t="shared" ref="G39:H39" si="11">F39</f>
        <v>15</v>
      </c>
      <c r="H39" s="91">
        <f t="shared" si="11"/>
        <v>15</v>
      </c>
      <c r="J39" s="83" t="s">
        <v>845</v>
      </c>
      <c r="K39" s="83" t="s">
        <v>845</v>
      </c>
      <c r="L39" s="15" t="s">
        <v>846</v>
      </c>
      <c r="V39" s="18"/>
      <c r="W39" s="18"/>
      <c r="X39" s="18"/>
    </row>
    <row r="40" spans="3:24" ht="17.25" thickBot="1" x14ac:dyDescent="0.35">
      <c r="C40" s="84"/>
      <c r="D40" s="84"/>
      <c r="E40" s="91"/>
      <c r="F40" s="91"/>
      <c r="G40" s="91"/>
      <c r="H40" s="91"/>
      <c r="V40" s="18"/>
      <c r="W40" s="18"/>
      <c r="X40" s="18"/>
    </row>
    <row r="41" spans="3:24" ht="17.25" thickTop="1" x14ac:dyDescent="0.3">
      <c r="C41" s="27" t="s">
        <v>112</v>
      </c>
      <c r="D41" s="84"/>
      <c r="E41" s="91"/>
      <c r="F41" s="91"/>
      <c r="G41" s="91"/>
      <c r="H41" s="91"/>
      <c r="V41" s="18"/>
      <c r="W41" s="18"/>
      <c r="X41" s="18"/>
    </row>
    <row r="42" spans="3:24" x14ac:dyDescent="0.3">
      <c r="C42" s="15" t="s">
        <v>484</v>
      </c>
      <c r="D42" s="15" t="s">
        <v>485</v>
      </c>
      <c r="E42" s="38">
        <v>0</v>
      </c>
      <c r="F42" s="97">
        <f>E42</f>
        <v>0</v>
      </c>
      <c r="G42" s="38">
        <v>0</v>
      </c>
      <c r="H42" s="97">
        <f t="shared" ref="H42:H43" si="12">G42</f>
        <v>0</v>
      </c>
      <c r="I42"/>
      <c r="J42" s="83" t="s">
        <v>737</v>
      </c>
      <c r="K42" s="15" t="s">
        <v>485</v>
      </c>
      <c r="L42"/>
      <c r="M42"/>
      <c r="V42" s="18"/>
      <c r="W42" s="18"/>
      <c r="X42" s="18"/>
    </row>
    <row r="43" spans="3:24" x14ac:dyDescent="0.3">
      <c r="C43" s="15" t="s">
        <v>738</v>
      </c>
      <c r="D43" s="15" t="s">
        <v>485</v>
      </c>
      <c r="E43" s="38">
        <v>1.5</v>
      </c>
      <c r="F43" s="97">
        <f>E43</f>
        <v>1.5</v>
      </c>
      <c r="G43" s="38">
        <v>1</v>
      </c>
      <c r="H43" s="97">
        <f t="shared" si="12"/>
        <v>1</v>
      </c>
      <c r="I43"/>
      <c r="J43" s="83" t="s">
        <v>657</v>
      </c>
      <c r="K43" s="15" t="s">
        <v>485</v>
      </c>
      <c r="L43"/>
      <c r="M43"/>
      <c r="V43" s="18"/>
      <c r="W43" s="18"/>
      <c r="X43" s="18"/>
    </row>
    <row r="44" spans="3:24" x14ac:dyDescent="0.3">
      <c r="C44" s="15" t="s">
        <v>740</v>
      </c>
      <c r="D44" s="15" t="s">
        <v>485</v>
      </c>
      <c r="E44" s="97">
        <f>SUM(E42:E43)</f>
        <v>1.5</v>
      </c>
      <c r="F44" s="97">
        <f t="shared" ref="F44:H44" si="13">SUM(F42:F43)</f>
        <v>1.5</v>
      </c>
      <c r="G44" s="97">
        <f t="shared" si="13"/>
        <v>1</v>
      </c>
      <c r="H44" s="97">
        <f t="shared" si="13"/>
        <v>1</v>
      </c>
      <c r="I44"/>
      <c r="J44"/>
      <c r="K44"/>
      <c r="L44"/>
      <c r="M44"/>
      <c r="V44" s="18"/>
      <c r="W44" s="18"/>
      <c r="X44" s="18"/>
    </row>
    <row r="45" spans="3:24" x14ac:dyDescent="0.3">
      <c r="C45" s="15" t="s">
        <v>489</v>
      </c>
      <c r="D45" s="15" t="s">
        <v>485</v>
      </c>
      <c r="E45" s="38">
        <v>0.2</v>
      </c>
      <c r="F45" s="97">
        <f>E45</f>
        <v>0.2</v>
      </c>
      <c r="G45" s="38">
        <v>0.1</v>
      </c>
      <c r="H45" s="97">
        <f t="shared" ref="H45" si="14">G45</f>
        <v>0.1</v>
      </c>
      <c r="J45" s="83" t="s">
        <v>737</v>
      </c>
      <c r="K45" s="15" t="s">
        <v>485</v>
      </c>
      <c r="L45"/>
      <c r="M45" s="26"/>
      <c r="V45" s="18"/>
      <c r="W45" s="18"/>
      <c r="X45" s="18"/>
    </row>
    <row r="46" spans="3:24" x14ac:dyDescent="0.3">
      <c r="C46" s="105" t="s">
        <v>491</v>
      </c>
      <c r="D46" s="15" t="s">
        <v>485</v>
      </c>
      <c r="E46" s="97">
        <f>E44+E45</f>
        <v>1.7</v>
      </c>
      <c r="F46" s="97">
        <f t="shared" ref="F46:H46" si="15">F44+F45</f>
        <v>1.7</v>
      </c>
      <c r="G46" s="97">
        <f t="shared" si="15"/>
        <v>1.1000000000000001</v>
      </c>
      <c r="H46" s="97">
        <f t="shared" si="15"/>
        <v>1.1000000000000001</v>
      </c>
      <c r="J46"/>
      <c r="K46" s="15"/>
      <c r="L46"/>
      <c r="M46"/>
      <c r="V46" s="18"/>
      <c r="W46" s="18"/>
      <c r="X46" s="18"/>
    </row>
    <row r="47" spans="3:24" x14ac:dyDescent="0.3">
      <c r="C47" s="15" t="s">
        <v>492</v>
      </c>
      <c r="D47" s="15" t="s">
        <v>493</v>
      </c>
      <c r="E47" s="25">
        <v>15</v>
      </c>
      <c r="F47" s="42">
        <f>E47</f>
        <v>15</v>
      </c>
      <c r="G47" s="42">
        <f t="shared" ref="G47" si="16">F47</f>
        <v>15</v>
      </c>
      <c r="H47" s="42">
        <f t="shared" ref="H47" si="17">G47</f>
        <v>15</v>
      </c>
      <c r="J47" s="83" t="s">
        <v>494</v>
      </c>
      <c r="K47" s="15" t="s">
        <v>493</v>
      </c>
      <c r="L47"/>
      <c r="M47" s="26" t="s">
        <v>495</v>
      </c>
      <c r="V47" s="18"/>
      <c r="W47" s="18"/>
      <c r="X47" s="18"/>
    </row>
    <row r="48" spans="3:24" x14ac:dyDescent="0.3">
      <c r="C48" s="105" t="s">
        <v>496</v>
      </c>
      <c r="D48" s="15" t="s">
        <v>69</v>
      </c>
      <c r="E48" s="42">
        <f>E46*E47</f>
        <v>25.5</v>
      </c>
      <c r="F48" s="42">
        <f t="shared" ref="F48:H48" si="18">F46*F47</f>
        <v>25.5</v>
      </c>
      <c r="G48" s="42">
        <f t="shared" si="18"/>
        <v>16.5</v>
      </c>
      <c r="H48" s="42">
        <f t="shared" si="18"/>
        <v>16.5</v>
      </c>
      <c r="J48"/>
      <c r="K48" s="15"/>
      <c r="L48"/>
      <c r="M48"/>
      <c r="V48" s="18"/>
      <c r="W48" s="18"/>
      <c r="X48" s="18"/>
    </row>
    <row r="49" spans="3:24" x14ac:dyDescent="0.3">
      <c r="C49" s="15" t="s">
        <v>847</v>
      </c>
      <c r="D49" s="17" t="s">
        <v>166</v>
      </c>
      <c r="E49" s="25">
        <v>2</v>
      </c>
      <c r="F49" s="42">
        <f>E49</f>
        <v>2</v>
      </c>
      <c r="G49" s="25">
        <v>2</v>
      </c>
      <c r="H49" s="42">
        <f t="shared" ref="H49:H50" si="19">G49</f>
        <v>2</v>
      </c>
      <c r="I49" s="42"/>
      <c r="J49" s="83" t="s">
        <v>658</v>
      </c>
      <c r="K49" s="83" t="s">
        <v>658</v>
      </c>
      <c r="L49" s="15" t="s">
        <v>610</v>
      </c>
      <c r="M49"/>
      <c r="V49" s="18"/>
      <c r="W49" s="18"/>
      <c r="X49" s="18"/>
    </row>
    <row r="50" spans="3:24" x14ac:dyDescent="0.3">
      <c r="C50" s="15" t="s">
        <v>848</v>
      </c>
      <c r="D50" s="15" t="s">
        <v>744</v>
      </c>
      <c r="E50" s="38">
        <v>15</v>
      </c>
      <c r="F50" s="97">
        <f>E50</f>
        <v>15</v>
      </c>
      <c r="G50" s="25">
        <v>15</v>
      </c>
      <c r="H50" s="97">
        <f t="shared" si="19"/>
        <v>15</v>
      </c>
      <c r="J50" s="83" t="s">
        <v>849</v>
      </c>
      <c r="K50" s="83" t="s">
        <v>849</v>
      </c>
      <c r="L50" s="15" t="s">
        <v>850</v>
      </c>
      <c r="M50"/>
      <c r="V50" s="18"/>
      <c r="W50" s="18"/>
      <c r="X50" s="18"/>
    </row>
    <row r="51" spans="3:24" x14ac:dyDescent="0.3">
      <c r="C51" s="105" t="s">
        <v>501</v>
      </c>
      <c r="D51" s="15" t="s">
        <v>69</v>
      </c>
      <c r="E51" s="42">
        <f>E49*E50</f>
        <v>30</v>
      </c>
      <c r="F51" s="42">
        <f t="shared" ref="F51" si="20">F49*F50</f>
        <v>30</v>
      </c>
      <c r="G51" s="42">
        <f t="shared" ref="G51" si="21">G49*G50</f>
        <v>30</v>
      </c>
      <c r="H51" s="42">
        <f t="shared" ref="H51" si="22">H49*H50</f>
        <v>30</v>
      </c>
      <c r="I51" s="42"/>
      <c r="J51"/>
      <c r="K51"/>
      <c r="L51"/>
      <c r="M51"/>
      <c r="V51" s="42"/>
      <c r="W51" s="99"/>
      <c r="X51" s="99"/>
    </row>
    <row r="52" spans="3:24" s="135" customFormat="1" x14ac:dyDescent="0.3">
      <c r="C52" s="133" t="s">
        <v>503</v>
      </c>
      <c r="D52" s="133" t="s">
        <v>69</v>
      </c>
      <c r="E52" s="134">
        <f>E48+E51</f>
        <v>55.5</v>
      </c>
      <c r="F52" s="134">
        <f>F48+F51</f>
        <v>55.5</v>
      </c>
      <c r="G52" s="134">
        <f>G48+G51</f>
        <v>46.5</v>
      </c>
      <c r="H52" s="134">
        <f>H48+H51</f>
        <v>46.5</v>
      </c>
      <c r="V52" s="45"/>
      <c r="W52" s="136"/>
      <c r="X52" s="136"/>
    </row>
    <row r="53" spans="3:24" x14ac:dyDescent="0.3">
      <c r="C53" s="133" t="s">
        <v>504</v>
      </c>
      <c r="D53" s="84" t="s">
        <v>505</v>
      </c>
      <c r="E53" s="25">
        <v>0</v>
      </c>
      <c r="F53" s="91">
        <f>E53</f>
        <v>0</v>
      </c>
      <c r="G53" s="25">
        <v>0</v>
      </c>
      <c r="H53" s="91">
        <f t="shared" ref="H53" si="23">G53</f>
        <v>0</v>
      </c>
      <c r="J53" s="83">
        <v>0</v>
      </c>
      <c r="K53" s="84" t="s">
        <v>505</v>
      </c>
      <c r="M53" s="26"/>
      <c r="V53" s="42"/>
      <c r="W53" s="99"/>
      <c r="X53" s="99"/>
    </row>
    <row r="54" spans="3:24" x14ac:dyDescent="0.3">
      <c r="C54" s="84" t="s">
        <v>508</v>
      </c>
      <c r="D54" s="84" t="s">
        <v>301</v>
      </c>
      <c r="E54" s="94">
        <f>'Model homes'!E$171</f>
        <v>0.02</v>
      </c>
      <c r="F54" s="91"/>
      <c r="G54" s="91"/>
      <c r="H54" s="91"/>
      <c r="V54" s="42"/>
      <c r="W54" s="99"/>
      <c r="X54" s="99"/>
    </row>
    <row r="55" spans="3:24" x14ac:dyDescent="0.3">
      <c r="C55" s="84" t="s">
        <v>509</v>
      </c>
      <c r="D55" s="84" t="s">
        <v>301</v>
      </c>
      <c r="E55" s="63">
        <f>IF($E54=E$57,1,(1-(((1+$E54)/(1+E$38))^E58))/(E57-$E54))</f>
        <v>8.8245523926477656</v>
      </c>
      <c r="F55" s="63">
        <f t="shared" ref="F55:H55" si="24">IF($E54=F$57,1,(1-(((1+$E54)/(1+F$38))^F58))/(F57-$E54))</f>
        <v>10.949720999737854</v>
      </c>
      <c r="G55" s="63">
        <f t="shared" si="24"/>
        <v>10.949720999737854</v>
      </c>
      <c r="H55" s="63">
        <f t="shared" si="24"/>
        <v>10.949720999737854</v>
      </c>
      <c r="V55" s="42"/>
      <c r="W55" s="99"/>
      <c r="X55" s="99"/>
    </row>
    <row r="56" spans="3:24" x14ac:dyDescent="0.3">
      <c r="C56" s="84" t="s">
        <v>510</v>
      </c>
      <c r="D56" s="84" t="s">
        <v>505</v>
      </c>
      <c r="E56" s="63">
        <f>-PMT(E57,E58,E53*E55)</f>
        <v>0</v>
      </c>
      <c r="F56" s="63">
        <f>-PMT(F57,F58,F53*F55)</f>
        <v>0</v>
      </c>
      <c r="G56" s="63">
        <f>-PMT(G57,G58,G53*G55)</f>
        <v>0</v>
      </c>
      <c r="H56" s="63">
        <f>-PMT(H57,H58,H53*H55)</f>
        <v>0</v>
      </c>
      <c r="V56" s="42"/>
      <c r="W56" s="99"/>
      <c r="X56" s="99"/>
    </row>
    <row r="57" spans="3:24" x14ac:dyDescent="0.3">
      <c r="C57" s="84" t="s">
        <v>302</v>
      </c>
      <c r="D57" s="84" t="s">
        <v>301</v>
      </c>
      <c r="E57" s="94">
        <f>'Model homes'!E$169</f>
        <v>0.04</v>
      </c>
      <c r="F57" s="94">
        <f>'Model homes'!F$169</f>
        <v>0</v>
      </c>
      <c r="G57" s="94">
        <f>'Model homes'!G$169</f>
        <v>0</v>
      </c>
      <c r="H57" s="94">
        <f>'Model homes'!H$169</f>
        <v>0</v>
      </c>
      <c r="V57" s="42"/>
      <c r="W57" s="99"/>
      <c r="X57" s="99"/>
    </row>
    <row r="58" spans="3:24" x14ac:dyDescent="0.3">
      <c r="C58" s="133" t="s">
        <v>511</v>
      </c>
      <c r="D58" s="84" t="s">
        <v>512</v>
      </c>
      <c r="E58" s="25">
        <v>10</v>
      </c>
      <c r="F58" s="91">
        <f>E58</f>
        <v>10</v>
      </c>
      <c r="G58" s="91">
        <f t="shared" ref="G58" si="25">F58</f>
        <v>10</v>
      </c>
      <c r="H58" s="91">
        <f t="shared" ref="H58" si="26">G58</f>
        <v>10</v>
      </c>
      <c r="J58" s="83" t="s">
        <v>845</v>
      </c>
      <c r="K58" s="83" t="s">
        <v>845</v>
      </c>
      <c r="L58" s="15" t="s">
        <v>846</v>
      </c>
      <c r="V58" s="42"/>
      <c r="W58" s="99"/>
      <c r="X58" s="99"/>
    </row>
    <row r="59" spans="3:24" ht="17.25" thickBot="1" x14ac:dyDescent="0.35">
      <c r="C59" s="84"/>
      <c r="D59" s="84"/>
      <c r="E59" s="91"/>
      <c r="F59" s="91"/>
      <c r="G59" s="91"/>
      <c r="H59" s="91"/>
      <c r="V59" s="18"/>
      <c r="W59" s="18"/>
      <c r="X59" s="18"/>
    </row>
    <row r="60" spans="3:24" ht="17.25" thickTop="1" x14ac:dyDescent="0.3">
      <c r="C60" s="27" t="str">
        <f>'eDevices_general+behavior'!C58</f>
        <v>Using stand fans for reducing air conditioning operation</v>
      </c>
      <c r="D60" s="84"/>
      <c r="E60" s="91"/>
      <c r="F60" s="91"/>
      <c r="G60" s="91"/>
      <c r="H60" s="91"/>
      <c r="V60" s="18"/>
      <c r="W60" s="18"/>
      <c r="X60" s="18"/>
    </row>
    <row r="61" spans="3:24" x14ac:dyDescent="0.3">
      <c r="C61" s="15" t="s">
        <v>484</v>
      </c>
      <c r="D61" s="15" t="s">
        <v>485</v>
      </c>
      <c r="E61" s="38">
        <v>0.5</v>
      </c>
      <c r="F61" s="97">
        <f>E61</f>
        <v>0.5</v>
      </c>
      <c r="G61" s="38">
        <v>0.5</v>
      </c>
      <c r="H61" s="97">
        <f t="shared" ref="H61:H62" si="27">G61</f>
        <v>0.5</v>
      </c>
      <c r="I61"/>
      <c r="J61" s="83" t="s">
        <v>737</v>
      </c>
      <c r="K61" s="15" t="s">
        <v>485</v>
      </c>
      <c r="L61"/>
      <c r="M61"/>
      <c r="V61" s="18"/>
      <c r="W61" s="18"/>
      <c r="X61" s="18"/>
    </row>
    <row r="62" spans="3:24" x14ac:dyDescent="0.3">
      <c r="C62" s="15" t="s">
        <v>738</v>
      </c>
      <c r="D62" s="15" t="s">
        <v>485</v>
      </c>
      <c r="E62" s="38">
        <v>1.5</v>
      </c>
      <c r="F62" s="97">
        <f>E62</f>
        <v>1.5</v>
      </c>
      <c r="G62" s="38">
        <v>1.5</v>
      </c>
      <c r="H62" s="97">
        <f t="shared" si="27"/>
        <v>1.5</v>
      </c>
      <c r="I62"/>
      <c r="J62" s="83" t="s">
        <v>657</v>
      </c>
      <c r="K62" s="15" t="s">
        <v>485</v>
      </c>
      <c r="L62"/>
      <c r="M62"/>
      <c r="V62" s="18"/>
      <c r="W62" s="18"/>
      <c r="X62" s="18"/>
    </row>
    <row r="63" spans="3:24" x14ac:dyDescent="0.3">
      <c r="C63" s="15" t="s">
        <v>740</v>
      </c>
      <c r="D63" s="15" t="s">
        <v>485</v>
      </c>
      <c r="E63" s="97">
        <f>SUM(E61:E62)</f>
        <v>2</v>
      </c>
      <c r="F63" s="97">
        <f t="shared" ref="F63:H63" si="28">SUM(F61:F62)</f>
        <v>2</v>
      </c>
      <c r="G63" s="97">
        <f t="shared" si="28"/>
        <v>2</v>
      </c>
      <c r="H63" s="97">
        <f t="shared" si="28"/>
        <v>2</v>
      </c>
      <c r="I63"/>
      <c r="J63"/>
      <c r="K63"/>
      <c r="L63"/>
      <c r="M63"/>
      <c r="V63" s="18"/>
      <c r="W63" s="18"/>
      <c r="X63" s="18"/>
    </row>
    <row r="64" spans="3:24" x14ac:dyDescent="0.3">
      <c r="C64" s="15" t="s">
        <v>489</v>
      </c>
      <c r="D64" s="15" t="s">
        <v>485</v>
      </c>
      <c r="E64" s="38"/>
      <c r="F64" s="97">
        <f>E64</f>
        <v>0</v>
      </c>
      <c r="G64" s="38"/>
      <c r="H64" s="97">
        <f t="shared" ref="H64" si="29">G64</f>
        <v>0</v>
      </c>
      <c r="J64" s="83" t="s">
        <v>737</v>
      </c>
      <c r="K64" s="15" t="s">
        <v>485</v>
      </c>
      <c r="L64"/>
      <c r="M64" s="26"/>
      <c r="V64" s="18"/>
      <c r="W64" s="18"/>
      <c r="X64" s="18"/>
    </row>
    <row r="65" spans="3:24" x14ac:dyDescent="0.3">
      <c r="C65" s="105" t="s">
        <v>491</v>
      </c>
      <c r="D65" s="15" t="s">
        <v>485</v>
      </c>
      <c r="E65" s="97">
        <f>E63+E64</f>
        <v>2</v>
      </c>
      <c r="F65" s="97">
        <f t="shared" ref="F65:H65" si="30">F63+F64</f>
        <v>2</v>
      </c>
      <c r="G65" s="97">
        <f t="shared" si="30"/>
        <v>2</v>
      </c>
      <c r="H65" s="97">
        <f t="shared" si="30"/>
        <v>2</v>
      </c>
      <c r="J65"/>
      <c r="K65" s="15"/>
      <c r="L65"/>
      <c r="M65"/>
      <c r="V65" s="18"/>
      <c r="W65" s="18"/>
      <c r="X65" s="18"/>
    </row>
    <row r="66" spans="3:24" x14ac:dyDescent="0.3">
      <c r="C66" s="15" t="s">
        <v>492</v>
      </c>
      <c r="D66" s="15" t="s">
        <v>493</v>
      </c>
      <c r="E66" s="25">
        <v>15</v>
      </c>
      <c r="F66" s="42">
        <f>E66</f>
        <v>15</v>
      </c>
      <c r="G66" s="42">
        <f t="shared" ref="G66" si="31">F66</f>
        <v>15</v>
      </c>
      <c r="H66" s="42">
        <f t="shared" ref="H66" si="32">G66</f>
        <v>15</v>
      </c>
      <c r="J66" s="83" t="s">
        <v>494</v>
      </c>
      <c r="K66" s="15" t="s">
        <v>493</v>
      </c>
      <c r="L66"/>
      <c r="M66" s="26" t="s">
        <v>495</v>
      </c>
      <c r="V66" s="18"/>
      <c r="W66" s="18"/>
      <c r="X66" s="18"/>
    </row>
    <row r="67" spans="3:24" x14ac:dyDescent="0.3">
      <c r="C67" s="105" t="s">
        <v>496</v>
      </c>
      <c r="D67" s="15" t="s">
        <v>69</v>
      </c>
      <c r="E67" s="42">
        <f>E65*E66</f>
        <v>30</v>
      </c>
      <c r="F67" s="42">
        <f t="shared" ref="F67:H67" si="33">F65*F66</f>
        <v>30</v>
      </c>
      <c r="G67" s="42">
        <f t="shared" si="33"/>
        <v>30</v>
      </c>
      <c r="H67" s="42">
        <f t="shared" si="33"/>
        <v>30</v>
      </c>
      <c r="J67"/>
      <c r="K67" s="15"/>
      <c r="L67"/>
      <c r="M67"/>
      <c r="V67" s="18"/>
      <c r="W67" s="18"/>
      <c r="X67" s="18"/>
    </row>
    <row r="68" spans="3:24" x14ac:dyDescent="0.3">
      <c r="C68" s="15" t="s">
        <v>851</v>
      </c>
      <c r="D68" s="17" t="s">
        <v>166</v>
      </c>
      <c r="E68" s="42">
        <f>'eDevices_general+behavior'!E59</f>
        <v>3</v>
      </c>
      <c r="F68" s="42">
        <f>'eDevices_general+behavior'!F59</f>
        <v>3</v>
      </c>
      <c r="G68" s="42">
        <f>'eDevices_general+behavior'!G59</f>
        <v>2</v>
      </c>
      <c r="H68" s="42">
        <f>'eDevices_general+behavior'!H59</f>
        <v>2</v>
      </c>
      <c r="I68" s="42"/>
      <c r="J68" s="83" t="s">
        <v>658</v>
      </c>
      <c r="K68" s="83" t="s">
        <v>658</v>
      </c>
      <c r="L68" s="15" t="s">
        <v>610</v>
      </c>
      <c r="M68"/>
      <c r="V68" s="18"/>
      <c r="W68" s="18"/>
      <c r="X68" s="18"/>
    </row>
    <row r="69" spans="3:24" x14ac:dyDescent="0.3">
      <c r="C69" s="15" t="s">
        <v>848</v>
      </c>
      <c r="D69" s="15" t="s">
        <v>744</v>
      </c>
      <c r="E69" s="38">
        <v>50</v>
      </c>
      <c r="F69" s="97">
        <f>E69</f>
        <v>50</v>
      </c>
      <c r="G69" s="25">
        <v>50</v>
      </c>
      <c r="H69" s="97">
        <f t="shared" ref="H69" si="34">G69</f>
        <v>50</v>
      </c>
      <c r="J69" s="83" t="s">
        <v>852</v>
      </c>
      <c r="K69" s="83" t="s">
        <v>852</v>
      </c>
      <c r="L69" s="15" t="s">
        <v>853</v>
      </c>
      <c r="M69"/>
      <c r="V69" s="18"/>
      <c r="W69" s="18"/>
      <c r="X69" s="18"/>
    </row>
    <row r="70" spans="3:24" x14ac:dyDescent="0.3">
      <c r="C70" s="105" t="s">
        <v>501</v>
      </c>
      <c r="D70" s="15" t="s">
        <v>69</v>
      </c>
      <c r="E70" s="42">
        <f>E68*E69</f>
        <v>150</v>
      </c>
      <c r="F70" s="42">
        <f t="shared" ref="F70:H70" si="35">F68*F69</f>
        <v>150</v>
      </c>
      <c r="G70" s="42">
        <f t="shared" si="35"/>
        <v>100</v>
      </c>
      <c r="H70" s="42">
        <f t="shared" si="35"/>
        <v>100</v>
      </c>
      <c r="I70" s="42"/>
      <c r="J70"/>
      <c r="K70"/>
      <c r="L70"/>
      <c r="M70"/>
      <c r="V70" s="42"/>
      <c r="W70" s="99"/>
      <c r="X70" s="99"/>
    </row>
    <row r="71" spans="3:24" s="135" customFormat="1" x14ac:dyDescent="0.3">
      <c r="C71" s="133" t="s">
        <v>503</v>
      </c>
      <c r="D71" s="133" t="s">
        <v>69</v>
      </c>
      <c r="E71" s="134">
        <f>E67+E70</f>
        <v>180</v>
      </c>
      <c r="F71" s="134">
        <f>F67+F70</f>
        <v>180</v>
      </c>
      <c r="G71" s="134">
        <f>G67+G70</f>
        <v>130</v>
      </c>
      <c r="H71" s="134">
        <f>H67+H70</f>
        <v>130</v>
      </c>
      <c r="V71" s="45"/>
      <c r="W71" s="136"/>
      <c r="X71" s="136"/>
    </row>
    <row r="72" spans="3:24" x14ac:dyDescent="0.3">
      <c r="C72" s="133" t="s">
        <v>504</v>
      </c>
      <c r="D72" s="84" t="s">
        <v>505</v>
      </c>
      <c r="E72" s="25">
        <v>0</v>
      </c>
      <c r="F72" s="91">
        <f>E72</f>
        <v>0</v>
      </c>
      <c r="G72" s="25">
        <v>0</v>
      </c>
      <c r="H72" s="91">
        <f t="shared" ref="H72" si="36">G72</f>
        <v>0</v>
      </c>
      <c r="J72" s="83">
        <v>0</v>
      </c>
      <c r="K72" s="84" t="s">
        <v>505</v>
      </c>
      <c r="M72" s="26"/>
      <c r="V72" s="42"/>
      <c r="W72" s="99"/>
      <c r="X72" s="99"/>
    </row>
    <row r="73" spans="3:24" x14ac:dyDescent="0.3">
      <c r="C73" s="84" t="s">
        <v>508</v>
      </c>
      <c r="D73" s="84" t="s">
        <v>301</v>
      </c>
      <c r="E73" s="94">
        <f>'Model homes'!E$171</f>
        <v>0.02</v>
      </c>
      <c r="F73" s="91"/>
      <c r="G73" s="91"/>
      <c r="H73" s="91"/>
      <c r="V73" s="42"/>
      <c r="W73" s="99"/>
      <c r="X73" s="99"/>
    </row>
    <row r="74" spans="3:24" x14ac:dyDescent="0.3">
      <c r="C74" s="84" t="s">
        <v>509</v>
      </c>
      <c r="D74" s="84" t="s">
        <v>301</v>
      </c>
      <c r="E74" s="63">
        <f>IF($E73=E$57,1,(1-(((1+$E73)/(1+E$38))^E77))/(E76-$E73))</f>
        <v>12.63435432014553</v>
      </c>
      <c r="F74" s="63">
        <f t="shared" ref="F74:H74" si="37">IF($E73=F$57,1,(1-(((1+$E73)/(1+F$38))^F77))/(F76-$E73))</f>
        <v>-17.293416916206461</v>
      </c>
      <c r="G74" s="63">
        <f t="shared" si="37"/>
        <v>-17.293416916206461</v>
      </c>
      <c r="H74" s="63">
        <f t="shared" si="37"/>
        <v>-17.293416916206461</v>
      </c>
      <c r="V74" s="42"/>
      <c r="W74" s="99"/>
      <c r="X74" s="99"/>
    </row>
    <row r="75" spans="3:24" x14ac:dyDescent="0.3">
      <c r="C75" s="84" t="s">
        <v>510</v>
      </c>
      <c r="D75" s="84" t="s">
        <v>505</v>
      </c>
      <c r="E75" s="63">
        <f>-PMT(E76,E77,E72*E74)</f>
        <v>0</v>
      </c>
      <c r="F75" s="63">
        <f>-PMT(F76,F77,F72*F74)</f>
        <v>0</v>
      </c>
      <c r="G75" s="63">
        <f>-PMT(G76,G77,G72*G74)</f>
        <v>0</v>
      </c>
      <c r="H75" s="63">
        <f>-PMT(H76,H77,H72*H74)</f>
        <v>0</v>
      </c>
      <c r="V75" s="42"/>
      <c r="W75" s="99"/>
      <c r="X75" s="99"/>
    </row>
    <row r="76" spans="3:24" x14ac:dyDescent="0.3">
      <c r="C76" s="84" t="s">
        <v>302</v>
      </c>
      <c r="D76" s="84" t="s">
        <v>301</v>
      </c>
      <c r="E76" s="94">
        <f>'Model homes'!$E169</f>
        <v>0.04</v>
      </c>
      <c r="F76" s="94">
        <f>'Model homes'!$E169</f>
        <v>0.04</v>
      </c>
      <c r="G76" s="94">
        <f>'Model homes'!$E169</f>
        <v>0.04</v>
      </c>
      <c r="H76" s="94">
        <f>'Model homes'!$E169</f>
        <v>0.04</v>
      </c>
      <c r="V76" s="42"/>
      <c r="W76" s="99"/>
      <c r="X76" s="99"/>
    </row>
    <row r="77" spans="3:24" x14ac:dyDescent="0.3">
      <c r="C77" s="133" t="s">
        <v>511</v>
      </c>
      <c r="D77" s="84" t="s">
        <v>512</v>
      </c>
      <c r="E77" s="25">
        <v>15</v>
      </c>
      <c r="F77" s="91">
        <f>E77</f>
        <v>15</v>
      </c>
      <c r="G77" s="91">
        <f t="shared" ref="G77" si="38">F77</f>
        <v>15</v>
      </c>
      <c r="H77" s="91">
        <f t="shared" ref="H77" si="39">G77</f>
        <v>15</v>
      </c>
      <c r="J77" s="83" t="s">
        <v>854</v>
      </c>
      <c r="K77" s="83" t="s">
        <v>854</v>
      </c>
      <c r="L77" s="15" t="s">
        <v>855</v>
      </c>
      <c r="V77" s="42"/>
      <c r="W77" s="99"/>
      <c r="X77" s="99"/>
    </row>
    <row r="78" spans="3:24" x14ac:dyDescent="0.3">
      <c r="C78" s="96"/>
      <c r="D78" s="84"/>
      <c r="E78" s="91"/>
      <c r="F78" s="91"/>
      <c r="G78" s="91"/>
      <c r="H78" s="91"/>
      <c r="V78" s="42"/>
      <c r="W78" s="99"/>
      <c r="X78" s="99"/>
    </row>
    <row r="79" spans="3:24" x14ac:dyDescent="0.3">
      <c r="C79" s="51" t="s">
        <v>515</v>
      </c>
      <c r="D79" s="84"/>
      <c r="E79" s="91"/>
      <c r="F79" s="91"/>
      <c r="G79" s="91"/>
      <c r="H79" s="91"/>
      <c r="J79" s="17" t="s">
        <v>478</v>
      </c>
      <c r="K79" s="17" t="s">
        <v>479</v>
      </c>
    </row>
    <row r="80" spans="3:24" x14ac:dyDescent="0.3">
      <c r="C80" s="20" t="s">
        <v>111</v>
      </c>
      <c r="D80" s="15" t="s">
        <v>299</v>
      </c>
      <c r="E80" s="42" t="e">
        <f>'Model homes'!E$141/100*E14</f>
        <v>#VALUE!</v>
      </c>
      <c r="F80" s="42" t="e">
        <f>'Model homes'!F$141/100*F14</f>
        <v>#VALUE!</v>
      </c>
      <c r="G80" s="42" t="e">
        <f>'Model homes'!G$141/100*G14</f>
        <v>#VALUE!</v>
      </c>
      <c r="H80" s="42" t="e">
        <f>'Model homes'!H$141/100*H14</f>
        <v>#VALUE!</v>
      </c>
      <c r="J80" s="45" t="e">
        <f>AVERAGE(E80:H80)</f>
        <v>#VALUE!</v>
      </c>
      <c r="K80" s="45" t="e">
        <f>AVERAGEIFS($E80:$H80,$J94:$M94,"yes")</f>
        <v>#DIV/0!</v>
      </c>
    </row>
    <row r="81" spans="2:16" x14ac:dyDescent="0.3">
      <c r="C81" s="84" t="s">
        <v>112</v>
      </c>
      <c r="D81" s="15" t="s">
        <v>299</v>
      </c>
      <c r="E81" s="42" t="e">
        <f>'Model homes'!E$141/100*E15</f>
        <v>#VALUE!</v>
      </c>
      <c r="F81" s="42" t="e">
        <f>'Model homes'!F$141/100*F15</f>
        <v>#VALUE!</v>
      </c>
      <c r="G81" s="42" t="e">
        <f>'Model homes'!G$141/100*G15</f>
        <v>#VALUE!</v>
      </c>
      <c r="H81" s="42" t="e">
        <f>'Model homes'!H$141/100*H15</f>
        <v>#VALUE!</v>
      </c>
      <c r="J81" s="45" t="e">
        <f t="shared" ref="J81:J82" si="40">AVERAGE(E81:H81)</f>
        <v>#VALUE!</v>
      </c>
      <c r="K81" s="45" t="e">
        <f>AVERAGEIFS($E81:$H81,$J95:$M95,"yes")</f>
        <v>#DIV/0!</v>
      </c>
    </row>
    <row r="82" spans="2:16" x14ac:dyDescent="0.3">
      <c r="C82" s="96" t="s">
        <v>113</v>
      </c>
      <c r="D82" s="15" t="s">
        <v>299</v>
      </c>
      <c r="E82" s="42" t="e">
        <f>'Model homes'!E$141/100*E16</f>
        <v>#VALUE!</v>
      </c>
      <c r="F82" s="42" t="e">
        <f>'Model homes'!F$141/100*F16</f>
        <v>#VALUE!</v>
      </c>
      <c r="G82" s="42" t="e">
        <f>'Model homes'!G$141/100*G16</f>
        <v>#VALUE!</v>
      </c>
      <c r="H82" s="42" t="e">
        <f>'Model homes'!H$141/100*H16</f>
        <v>#VALUE!</v>
      </c>
      <c r="J82" s="45" t="e">
        <f t="shared" si="40"/>
        <v>#VALUE!</v>
      </c>
      <c r="K82" s="45" t="e">
        <f>AVERAGEIFS($E82:$H82,$J96:$M96,"yes")</f>
        <v>#DIV/0!</v>
      </c>
    </row>
    <row r="83" spans="2:16" x14ac:dyDescent="0.3">
      <c r="C83" s="20"/>
      <c r="D83" s="15"/>
      <c r="E83" s="42"/>
      <c r="F83" s="55"/>
      <c r="G83" s="42"/>
      <c r="H83" s="42"/>
      <c r="J83" s="26"/>
    </row>
    <row r="84" spans="2:16" x14ac:dyDescent="0.3">
      <c r="C84" s="51" t="s">
        <v>517</v>
      </c>
      <c r="D84" s="84"/>
      <c r="E84" s="91"/>
      <c r="F84" s="91"/>
      <c r="G84" s="91"/>
      <c r="H84" s="91"/>
      <c r="J84" s="51" t="s">
        <v>509</v>
      </c>
    </row>
    <row r="85" spans="2:16" x14ac:dyDescent="0.3">
      <c r="C85" s="20" t="s">
        <v>111</v>
      </c>
      <c r="D85" s="15" t="s">
        <v>299</v>
      </c>
      <c r="E85" s="55" t="e">
        <f>-PMT(E$38,E$39,E80*$J85)</f>
        <v>#VALUE!</v>
      </c>
      <c r="F85" s="55" t="e">
        <f>-PMT(F$38,F$39,F80*$J85)</f>
        <v>#VALUE!</v>
      </c>
      <c r="G85" s="55" t="e">
        <f>-PMT(G$38,G$39,G80*$J85)</f>
        <v>#VALUE!</v>
      </c>
      <c r="H85" s="55" t="e">
        <f>-PMT(H$38,H$39,H80*$J85)</f>
        <v>#VALUE!</v>
      </c>
      <c r="J85" s="63">
        <f>(1-(((1+'Model homes'!E$166)/(1+E$38))^E$39))/(E$38-'Model homes'!E$166)</f>
        <v>13.054095919925354</v>
      </c>
    </row>
    <row r="86" spans="2:16" x14ac:dyDescent="0.3">
      <c r="C86" s="84" t="s">
        <v>112</v>
      </c>
      <c r="D86" s="15" t="s">
        <v>299</v>
      </c>
      <c r="E86" s="55" t="e">
        <f>-PMT(E$57,E$58,E81*$J86)</f>
        <v>#VALUE!</v>
      </c>
      <c r="F86" s="55" t="e">
        <f t="shared" ref="F86:H86" si="41">-PMT(F$57,F$58,F81*$J86)</f>
        <v>#VALUE!</v>
      </c>
      <c r="G86" s="55" t="e">
        <f t="shared" si="41"/>
        <v>#VALUE!</v>
      </c>
      <c r="H86" s="55" t="e">
        <f t="shared" si="41"/>
        <v>#VALUE!</v>
      </c>
      <c r="J86" s="63">
        <f>(1-(((1+'Model homes'!E$166)/(1+E$57))^E$58))/(E$57-'Model homes'!E$166)</f>
        <v>9.0147165915491776</v>
      </c>
    </row>
    <row r="87" spans="2:16" x14ac:dyDescent="0.3">
      <c r="C87" s="96" t="s">
        <v>113</v>
      </c>
      <c r="D87" s="15" t="s">
        <v>299</v>
      </c>
      <c r="E87" s="55" t="e">
        <f>-PMT(E$76,E$77,E82*$J87)</f>
        <v>#VALUE!</v>
      </c>
      <c r="F87" s="55" t="e">
        <f t="shared" ref="F87:H87" si="42">-PMT(F$76,F$77,F82*$J87)</f>
        <v>#VALUE!</v>
      </c>
      <c r="G87" s="55" t="e">
        <f t="shared" si="42"/>
        <v>#VALUE!</v>
      </c>
      <c r="H87" s="55" t="e">
        <f t="shared" si="42"/>
        <v>#VALUE!</v>
      </c>
      <c r="J87" s="63">
        <f>(1-(((1+'Model homes'!E$166)/(1+E$76))^E$77))/(E$76-'Model homes'!E$166)</f>
        <v>13.054095919925354</v>
      </c>
    </row>
    <row r="88" spans="2:16" x14ac:dyDescent="0.3">
      <c r="C88" s="20"/>
      <c r="D88" s="15"/>
      <c r="E88" s="42"/>
      <c r="F88" s="55"/>
      <c r="G88" s="42"/>
      <c r="H88" s="42"/>
      <c r="J88" s="26"/>
    </row>
    <row r="89" spans="2:16" ht="20.25" x14ac:dyDescent="0.35">
      <c r="C89" s="81" t="s">
        <v>518</v>
      </c>
      <c r="D89" s="46"/>
      <c r="E89" s="55"/>
      <c r="F89" s="55"/>
      <c r="G89" s="55"/>
      <c r="H89" s="55"/>
      <c r="J89" s="26"/>
    </row>
    <row r="90" spans="2:16" s="18" customFormat="1" ht="17.25" thickBot="1" x14ac:dyDescent="0.35">
      <c r="B90" s="19" t="s">
        <v>153</v>
      </c>
      <c r="C90" s="19" t="s">
        <v>154</v>
      </c>
      <c r="D90" s="19" t="s">
        <v>32</v>
      </c>
      <c r="E90" s="19" t="s">
        <v>155</v>
      </c>
      <c r="F90" s="19"/>
      <c r="G90" s="19" t="s">
        <v>155</v>
      </c>
      <c r="H90" s="19"/>
      <c r="I90" s="19"/>
      <c r="J90" s="56" t="s">
        <v>156</v>
      </c>
      <c r="K90" s="56"/>
    </row>
    <row r="91" spans="2:16" s="30" customFormat="1" ht="18" thickTop="1" thickBot="1" x14ac:dyDescent="0.35">
      <c r="B91" s="28"/>
      <c r="C91" s="29" t="s">
        <v>157</v>
      </c>
      <c r="D91" s="29"/>
      <c r="E91" s="335" t="s">
        <v>5</v>
      </c>
      <c r="F91" s="335"/>
      <c r="G91" s="335" t="s">
        <v>6</v>
      </c>
      <c r="H91" s="335"/>
      <c r="I91" s="28"/>
      <c r="J91" s="28"/>
      <c r="K91" s="57"/>
      <c r="M91" s="20"/>
    </row>
    <row r="92" spans="2:16" ht="18" thickTop="1" thickBot="1" x14ac:dyDescent="0.35">
      <c r="B92" s="19"/>
      <c r="C92" s="29" t="s">
        <v>158</v>
      </c>
      <c r="D92" s="29"/>
      <c r="E92" s="29" t="s">
        <v>7</v>
      </c>
      <c r="F92" s="29" t="s">
        <v>8</v>
      </c>
      <c r="G92" s="29" t="s">
        <v>7</v>
      </c>
      <c r="H92" s="29" t="s">
        <v>8</v>
      </c>
      <c r="I92" s="19"/>
      <c r="J92" s="19"/>
      <c r="K92" s="56"/>
      <c r="M92" s="82"/>
      <c r="N92" s="82"/>
    </row>
    <row r="93" spans="2:16" ht="17.25" thickTop="1" x14ac:dyDescent="0.3">
      <c r="C93" s="51" t="s">
        <v>519</v>
      </c>
      <c r="D93" s="84"/>
      <c r="E93" s="90"/>
      <c r="F93" s="90"/>
      <c r="G93" s="90"/>
      <c r="H93" s="90"/>
      <c r="J93" s="20" t="s">
        <v>520</v>
      </c>
      <c r="O93" s="17" t="s">
        <v>7</v>
      </c>
      <c r="P93" s="17" t="s">
        <v>8</v>
      </c>
    </row>
    <row r="94" spans="2:16" x14ac:dyDescent="0.3">
      <c r="C94" s="20" t="s">
        <v>111</v>
      </c>
      <c r="D94" s="84" t="s">
        <v>512</v>
      </c>
      <c r="E94" s="97" t="e">
        <f>IF(E$33/(E80-E$34)&lt;0,"-",E$33/(E80-E$34))</f>
        <v>#VALUE!</v>
      </c>
      <c r="F94" s="97" t="e">
        <f>IF(F$33/(F80-F$34)&lt;0,"-",F$33/(F80-F$34))</f>
        <v>#VALUE!</v>
      </c>
      <c r="G94" s="97" t="e">
        <f>IF(G$33/(G80-G$34)&lt;0,"-",G$33/(G80-G$34))</f>
        <v>#VALUE!</v>
      </c>
      <c r="H94" s="97" t="e">
        <f>IF(H$33/(H80-H$34)&lt;0,"-",H$33/(H80-H$34))</f>
        <v>#VALUE!</v>
      </c>
      <c r="J94" s="42" t="e">
        <f t="shared" ref="J94:M94" si="43">IF(E94&lt;E$39,"yes","no")</f>
        <v>#VALUE!</v>
      </c>
      <c r="K94" s="42" t="e">
        <f t="shared" si="43"/>
        <v>#VALUE!</v>
      </c>
      <c r="L94" s="42" t="e">
        <f t="shared" si="43"/>
        <v>#VALUE!</v>
      </c>
      <c r="M94" s="42" t="e">
        <f t="shared" si="43"/>
        <v>#VALUE!</v>
      </c>
      <c r="O94" s="17" t="str">
        <f t="shared" ref="O94:P96" si="44">IF((COUNTIF(J94,"yes")+COUNTIF(L94,"yes"))&gt;=(COUNTIF(J94,"no")+COUNTIF(L94,"no")),"yes","no")</f>
        <v>yes</v>
      </c>
      <c r="P94" s="17" t="str">
        <f t="shared" si="44"/>
        <v>yes</v>
      </c>
    </row>
    <row r="95" spans="2:16" x14ac:dyDescent="0.3">
      <c r="C95" s="84" t="s">
        <v>112</v>
      </c>
      <c r="D95" s="84" t="s">
        <v>512</v>
      </c>
      <c r="E95" s="97" t="e">
        <f>IF(E$52/(E81-E$53)&lt;0,"-",E$52/(E81-E$53))</f>
        <v>#VALUE!</v>
      </c>
      <c r="F95" s="97" t="e">
        <f>IF(F$52/(F81-F$53)&lt;0,"-",F$52/(F81-F$53))</f>
        <v>#VALUE!</v>
      </c>
      <c r="G95" s="97" t="e">
        <f>IF(G$52/(G81-G$53)&lt;0,"-",G$52/(G81-G$53))</f>
        <v>#VALUE!</v>
      </c>
      <c r="H95" s="97" t="e">
        <f>IF(H$52/(H81-H$53)&lt;0,"-",H$52/(H81-H$53))</f>
        <v>#VALUE!</v>
      </c>
      <c r="J95" s="42" t="e">
        <f>IF(E95&lt;E$58,"yes","no")</f>
        <v>#VALUE!</v>
      </c>
      <c r="K95" s="42" t="e">
        <f t="shared" ref="K95:M95" si="45">IF(F95&lt;F$58,"yes","no")</f>
        <v>#VALUE!</v>
      </c>
      <c r="L95" s="42" t="e">
        <f t="shared" si="45"/>
        <v>#VALUE!</v>
      </c>
      <c r="M95" s="42" t="e">
        <f t="shared" si="45"/>
        <v>#VALUE!</v>
      </c>
      <c r="O95" s="17" t="str">
        <f t="shared" si="44"/>
        <v>yes</v>
      </c>
      <c r="P95" s="17" t="str">
        <f t="shared" si="44"/>
        <v>yes</v>
      </c>
    </row>
    <row r="96" spans="2:16" x14ac:dyDescent="0.3">
      <c r="C96" s="96" t="s">
        <v>113</v>
      </c>
      <c r="D96" s="84" t="s">
        <v>512</v>
      </c>
      <c r="E96" s="97" t="e">
        <f>IF(E$71/(E82-E$72)&lt;0,"-",E$71/(E82-E$72))</f>
        <v>#VALUE!</v>
      </c>
      <c r="F96" s="97" t="e">
        <f>IF(F$71/(F82-F$72)&lt;0,"-",F$71/(F82-F$72))</f>
        <v>#VALUE!</v>
      </c>
      <c r="G96" s="97" t="e">
        <f>IF(G$71/(G82-G$72)&lt;0,"-",G$71/(G82-G$72))</f>
        <v>#VALUE!</v>
      </c>
      <c r="H96" s="97" t="e">
        <f>IF(H$71/(H82-H$72)&lt;0,"-",H$71/(H82-H$72))</f>
        <v>#VALUE!</v>
      </c>
      <c r="J96" s="42" t="e">
        <f>IF(E96&lt;E$77,"yes","no")</f>
        <v>#VALUE!</v>
      </c>
      <c r="K96" s="42" t="e">
        <f t="shared" ref="K96:M96" si="46">IF(F96&lt;F$77,"yes","no")</f>
        <v>#VALUE!</v>
      </c>
      <c r="L96" s="42" t="e">
        <f t="shared" si="46"/>
        <v>#VALUE!</v>
      </c>
      <c r="M96" s="42" t="e">
        <f t="shared" si="46"/>
        <v>#VALUE!</v>
      </c>
      <c r="O96" s="17" t="str">
        <f t="shared" si="44"/>
        <v>yes</v>
      </c>
      <c r="P96" s="17" t="str">
        <f t="shared" si="44"/>
        <v>yes</v>
      </c>
    </row>
    <row r="97" spans="3:40" x14ac:dyDescent="0.3">
      <c r="C97" s="20"/>
      <c r="D97" s="96"/>
      <c r="E97" s="55"/>
      <c r="F97" s="55"/>
      <c r="G97" s="55"/>
      <c r="H97" s="55"/>
      <c r="J97" s="26"/>
      <c r="R97" s="42"/>
      <c r="S97" s="42"/>
      <c r="T97" s="42"/>
    </row>
    <row r="98" spans="3:40" x14ac:dyDescent="0.3">
      <c r="C98" s="51" t="s">
        <v>521</v>
      </c>
      <c r="D98" s="84"/>
      <c r="E98" s="90"/>
      <c r="F98" s="90"/>
      <c r="G98" s="90"/>
      <c r="H98" s="90"/>
      <c r="J98" s="20" t="s">
        <v>520</v>
      </c>
    </row>
    <row r="99" spans="3:40" x14ac:dyDescent="0.3">
      <c r="C99" s="20" t="s">
        <v>111</v>
      </c>
      <c r="D99" s="84" t="s">
        <v>512</v>
      </c>
      <c r="E99" s="97" t="e">
        <f>IF((E$33)/(E85-E$37)&lt;0,"-",(E$33)/(E85-E$37))</f>
        <v>#VALUE!</v>
      </c>
      <c r="F99" s="97" t="e">
        <f>IF((F$33)/(F85-F$37)&lt;0,"-",(F$33)/(F85-F$37))</f>
        <v>#VALUE!</v>
      </c>
      <c r="G99" s="97" t="e">
        <f>IF((G$33)/(G85-G$37)&lt;0,"-",(G$33)/(G85-G$37))</f>
        <v>#VALUE!</v>
      </c>
      <c r="H99" s="97" t="e">
        <f>IF((H$33)/(H85-H$37)&lt;0,"-",(H$33)/(H85-H$37))</f>
        <v>#VALUE!</v>
      </c>
      <c r="J99" s="42" t="e">
        <f t="shared" ref="J99:M99" si="47">IF(E99&lt;E$39,"yes","no")</f>
        <v>#VALUE!</v>
      </c>
      <c r="K99" s="42" t="e">
        <f t="shared" si="47"/>
        <v>#VALUE!</v>
      </c>
      <c r="L99" s="42" t="e">
        <f t="shared" si="47"/>
        <v>#VALUE!</v>
      </c>
      <c r="M99" s="42" t="e">
        <f t="shared" si="47"/>
        <v>#VALUE!</v>
      </c>
    </row>
    <row r="100" spans="3:40" x14ac:dyDescent="0.3">
      <c r="C100" s="84" t="s">
        <v>112</v>
      </c>
      <c r="D100" s="84" t="s">
        <v>512</v>
      </c>
      <c r="E100" s="97" t="e">
        <f>IF((E$52)/(E86-E$56)&lt;0,"-",(E$52)/(E86-E$56))</f>
        <v>#VALUE!</v>
      </c>
      <c r="F100" s="97" t="e">
        <f>IF((F$52)/(F86-F$56)&lt;0,"-",(F$52)/(F86-F$56))</f>
        <v>#VALUE!</v>
      </c>
      <c r="G100" s="97" t="e">
        <f>IF((G$52)/(G86-G$56)&lt;0,"-",(G$52)/(G86-G$56))</f>
        <v>#VALUE!</v>
      </c>
      <c r="H100" s="97" t="e">
        <f>IF((H$52)/(H86-H$56)&lt;0,"-",(H$52)/(H86-H$56))</f>
        <v>#VALUE!</v>
      </c>
      <c r="J100" s="42" t="e">
        <f>IF(E100&lt;E$58,"yes","no")</f>
        <v>#VALUE!</v>
      </c>
      <c r="K100" s="42" t="e">
        <f t="shared" ref="K100:M100" si="48">IF(F100&lt;F$58,"yes","no")</f>
        <v>#VALUE!</v>
      </c>
      <c r="L100" s="42" t="e">
        <f t="shared" si="48"/>
        <v>#VALUE!</v>
      </c>
      <c r="M100" s="42" t="e">
        <f t="shared" si="48"/>
        <v>#VALUE!</v>
      </c>
    </row>
    <row r="101" spans="3:40" x14ac:dyDescent="0.3">
      <c r="C101" s="96" t="s">
        <v>113</v>
      </c>
      <c r="D101" s="84" t="s">
        <v>512</v>
      </c>
      <c r="E101" s="97" t="e">
        <f>IF((E$71)/(E87-E$75)&lt;0,"-",(E$71)/(E87-E$75))</f>
        <v>#VALUE!</v>
      </c>
      <c r="F101" s="97" t="e">
        <f>IF((F$71)/(F87-F$75)&lt;0,"-",(F$71)/(F87-F$75))</f>
        <v>#VALUE!</v>
      </c>
      <c r="G101" s="97" t="e">
        <f>IF((G$71)/(G87-G$75)&lt;0,"-",(G$71)/(G87-G$75))</f>
        <v>#VALUE!</v>
      </c>
      <c r="H101" s="97" t="e">
        <f>IF((H$71)/(H87-H$75)&lt;0,"-",(H$71)/(H87-H$75))</f>
        <v>#VALUE!</v>
      </c>
      <c r="J101" s="42" t="e">
        <f>IF(E101&lt;E$77,"yes","no")</f>
        <v>#VALUE!</v>
      </c>
      <c r="K101" s="42" t="e">
        <f t="shared" ref="K101:M101" si="49">IF(F101&lt;F$77,"yes","no")</f>
        <v>#VALUE!</v>
      </c>
      <c r="L101" s="42" t="e">
        <f t="shared" si="49"/>
        <v>#VALUE!</v>
      </c>
      <c r="M101" s="42" t="e">
        <f t="shared" si="49"/>
        <v>#VALUE!</v>
      </c>
    </row>
    <row r="103" spans="3:40" x14ac:dyDescent="0.3">
      <c r="C103" s="51" t="s">
        <v>522</v>
      </c>
      <c r="D103" s="84"/>
      <c r="E103" s="90"/>
      <c r="F103" s="90"/>
      <c r="G103" s="90"/>
      <c r="H103" s="90"/>
      <c r="J103" s="51" t="s">
        <v>523</v>
      </c>
      <c r="R103" s="51" t="s">
        <v>524</v>
      </c>
      <c r="Z103" s="51" t="s">
        <v>525</v>
      </c>
      <c r="AH103" s="51" t="s">
        <v>526</v>
      </c>
    </row>
    <row r="104" spans="3:40" ht="15.95" customHeight="1" x14ac:dyDescent="0.3">
      <c r="C104" s="20" t="s">
        <v>111</v>
      </c>
      <c r="D104" s="84" t="s">
        <v>527</v>
      </c>
      <c r="E104" s="130" t="e">
        <f>E14*'Model homes'!$J$117*10^-6</f>
        <v>#N/A</v>
      </c>
      <c r="F104" s="130" t="e">
        <f>F14*'Model homes'!$J117*10^-6</f>
        <v>#N/A</v>
      </c>
      <c r="G104" s="130" t="e">
        <f>G14*'Model homes'!$J117*10^-6</f>
        <v>#N/A</v>
      </c>
      <c r="H104" s="130" t="e">
        <f>H14*'Model homes'!$J117*10^-6</f>
        <v>#N/A</v>
      </c>
      <c r="J104" s="213" t="s">
        <v>21</v>
      </c>
      <c r="L104" s="207" t="s">
        <v>528</v>
      </c>
      <c r="M104" s="130" t="e">
        <f>'Model homes'!$E$281*E14*10^-6</f>
        <v>#DIV/0!</v>
      </c>
      <c r="N104" s="130" t="e">
        <f>'Model homes'!$E$281*F14*10^-6</f>
        <v>#DIV/0!</v>
      </c>
      <c r="O104" s="130" t="e">
        <f>'Model homes'!$E$281*G14*10^-6</f>
        <v>#DIV/0!</v>
      </c>
      <c r="P104" s="130" t="e">
        <f>'Model homes'!$E$281*H14*10^-6</f>
        <v>#DIV/0!</v>
      </c>
      <c r="R104" s="213" t="s">
        <v>21</v>
      </c>
      <c r="T104" s="207" t="s">
        <v>529</v>
      </c>
      <c r="U104" s="130" t="e">
        <f>'Model homes'!$F$281*E14*10^-6</f>
        <v>#DIV/0!</v>
      </c>
      <c r="V104" s="130" t="e">
        <f>'Model homes'!$F$281*F14*10^-6</f>
        <v>#DIV/0!</v>
      </c>
      <c r="W104" s="130" t="e">
        <f>'Model homes'!$F$281*G14*10^-6</f>
        <v>#DIV/0!</v>
      </c>
      <c r="X104" s="130" t="e">
        <f>'Model homes'!$F$281*H14*10^-6</f>
        <v>#DIV/0!</v>
      </c>
      <c r="Z104" s="213" t="s">
        <v>21</v>
      </c>
      <c r="AB104" s="207" t="s">
        <v>530</v>
      </c>
      <c r="AC104" s="130" t="e">
        <f>'Model homes'!$G$281*E14*10^-6</f>
        <v>#DIV/0!</v>
      </c>
      <c r="AD104" s="130" t="e">
        <f>'Model homes'!$G$281*F14*10^-6</f>
        <v>#DIV/0!</v>
      </c>
      <c r="AE104" s="130" t="e">
        <f>'Model homes'!$G$281*G14*10^-6</f>
        <v>#DIV/0!</v>
      </c>
      <c r="AF104" s="130" t="e">
        <f>'Model homes'!$G$281*H14*10^-6</f>
        <v>#DIV/0!</v>
      </c>
      <c r="AH104" s="213" t="s">
        <v>21</v>
      </c>
      <c r="AJ104" s="207" t="s">
        <v>531</v>
      </c>
      <c r="AK104" s="130" t="e">
        <f>'Model homes'!$H$281*E14*10^-6</f>
        <v>#DIV/0!</v>
      </c>
      <c r="AL104" s="130" t="e">
        <f>'Model homes'!$H$281*F14*10^-6</f>
        <v>#DIV/0!</v>
      </c>
      <c r="AM104" s="130" t="e">
        <f>'Model homes'!$H$281*G14*10^-6</f>
        <v>#DIV/0!</v>
      </c>
      <c r="AN104" s="130" t="e">
        <f>'Model homes'!$H$281*H14*10^-6</f>
        <v>#DIV/0!</v>
      </c>
    </row>
    <row r="105" spans="3:40" ht="15.95" customHeight="1" x14ac:dyDescent="0.3">
      <c r="C105" s="84" t="s">
        <v>112</v>
      </c>
      <c r="D105" s="84" t="s">
        <v>527</v>
      </c>
      <c r="E105" s="130" t="e">
        <f>E15*'Model homes'!$J$117*10^-6</f>
        <v>#N/A</v>
      </c>
      <c r="F105" s="130" t="e">
        <f>F15*'Model homes'!$J$117*10^-6</f>
        <v>#N/A</v>
      </c>
      <c r="G105" s="130" t="e">
        <f>G15*'Model homes'!$J$117*10^-6</f>
        <v>#N/A</v>
      </c>
      <c r="H105" s="130" t="e">
        <f>H15*'Model homes'!$J$117*10^-6</f>
        <v>#N/A</v>
      </c>
      <c r="L105" s="207" t="s">
        <v>528</v>
      </c>
      <c r="M105" s="130" t="e">
        <f>'Model homes'!$E$281*E15*10^-6</f>
        <v>#DIV/0!</v>
      </c>
      <c r="N105" s="130" t="e">
        <f>'Model homes'!$E$281*F15*10^-6</f>
        <v>#DIV/0!</v>
      </c>
      <c r="O105" s="130" t="e">
        <f>'Model homes'!$E$281*G15*10^-6</f>
        <v>#DIV/0!</v>
      </c>
      <c r="P105" s="130" t="e">
        <f>'Model homes'!$E$281*H15*10^-6</f>
        <v>#DIV/0!</v>
      </c>
      <c r="R105" s="26"/>
      <c r="T105" s="207" t="s">
        <v>529</v>
      </c>
      <c r="U105" s="130" t="e">
        <f>'Model homes'!$F$281*E15*10^-6</f>
        <v>#DIV/0!</v>
      </c>
      <c r="V105" s="130" t="e">
        <f>'Model homes'!$F$281*F15*10^-6</f>
        <v>#DIV/0!</v>
      </c>
      <c r="W105" s="130" t="e">
        <f>'Model homes'!$F$281*G15*10^-6</f>
        <v>#DIV/0!</v>
      </c>
      <c r="X105" s="130" t="e">
        <f>'Model homes'!$F$281*H15*10^-6</f>
        <v>#DIV/0!</v>
      </c>
      <c r="AB105" s="207" t="s">
        <v>530</v>
      </c>
      <c r="AC105" s="130" t="e">
        <f>'Model homes'!$G$281*E15*10^-6</f>
        <v>#DIV/0!</v>
      </c>
      <c r="AD105" s="130" t="e">
        <f>'Model homes'!$G$281*F15*10^-6</f>
        <v>#DIV/0!</v>
      </c>
      <c r="AE105" s="130" t="e">
        <f>'Model homes'!$G$281*G15*10^-6</f>
        <v>#DIV/0!</v>
      </c>
      <c r="AF105" s="130" t="e">
        <f>'Model homes'!$G$281*H15*10^-6</f>
        <v>#DIV/0!</v>
      </c>
      <c r="AJ105" s="207" t="s">
        <v>531</v>
      </c>
      <c r="AK105" s="130" t="e">
        <f>'Model homes'!$H$281*E15*10^-6</f>
        <v>#DIV/0!</v>
      </c>
      <c r="AL105" s="130" t="e">
        <f>'Model homes'!$H$281*F15*10^-6</f>
        <v>#DIV/0!</v>
      </c>
      <c r="AM105" s="130" t="e">
        <f>'Model homes'!$H$281*G15*10^-6</f>
        <v>#DIV/0!</v>
      </c>
      <c r="AN105" s="130" t="e">
        <f>'Model homes'!$H$281*H15*10^-6</f>
        <v>#DIV/0!</v>
      </c>
    </row>
    <row r="106" spans="3:40" ht="15.95" customHeight="1" x14ac:dyDescent="0.3">
      <c r="C106" s="96" t="s">
        <v>113</v>
      </c>
      <c r="D106" s="84" t="s">
        <v>527</v>
      </c>
      <c r="E106" s="130" t="e">
        <f>E16*'Model homes'!$J$117*10^-6</f>
        <v>#N/A</v>
      </c>
      <c r="F106" s="130" t="e">
        <f>F16*'Model homes'!$J$117*10^-6</f>
        <v>#N/A</v>
      </c>
      <c r="G106" s="130" t="e">
        <f>G16*'Model homes'!$J$117*10^-6</f>
        <v>#N/A</v>
      </c>
      <c r="H106" s="130" t="e">
        <f>H16*'Model homes'!$J$117*10^-6</f>
        <v>#N/A</v>
      </c>
      <c r="L106" s="207" t="s">
        <v>528</v>
      </c>
      <c r="M106" s="130" t="e">
        <f>'Model homes'!$E$281*E16*10^-6</f>
        <v>#DIV/0!</v>
      </c>
      <c r="N106" s="130" t="e">
        <f>'Model homes'!$E$281*F16*10^-6</f>
        <v>#DIV/0!</v>
      </c>
      <c r="O106" s="130" t="e">
        <f>'Model homes'!$E$281*G16*10^-6</f>
        <v>#DIV/0!</v>
      </c>
      <c r="P106" s="130" t="e">
        <f>'Model homes'!$E$281*H16*10^-6</f>
        <v>#DIV/0!</v>
      </c>
      <c r="R106" s="26"/>
      <c r="T106" s="207" t="s">
        <v>529</v>
      </c>
      <c r="U106" s="130" t="e">
        <f>'Model homes'!$F$281*E16*10^-6</f>
        <v>#DIV/0!</v>
      </c>
      <c r="V106" s="130" t="e">
        <f>'Model homes'!$F$281*F16*10^-6</f>
        <v>#DIV/0!</v>
      </c>
      <c r="W106" s="130" t="e">
        <f>'Model homes'!$F$281*G16*10^-6</f>
        <v>#DIV/0!</v>
      </c>
      <c r="X106" s="130" t="e">
        <f>'Model homes'!$F$281*H16*10^-6</f>
        <v>#DIV/0!</v>
      </c>
      <c r="AB106" s="207" t="s">
        <v>530</v>
      </c>
      <c r="AC106" s="130" t="e">
        <f>'Model homes'!$G$281*E16*10^-6</f>
        <v>#DIV/0!</v>
      </c>
      <c r="AD106" s="130" t="e">
        <f>'Model homes'!$G$281*F16*10^-6</f>
        <v>#DIV/0!</v>
      </c>
      <c r="AE106" s="130" t="e">
        <f>'Model homes'!$G$281*G16*10^-6</f>
        <v>#DIV/0!</v>
      </c>
      <c r="AF106" s="130" t="e">
        <f>'Model homes'!$G$281*H16*10^-6</f>
        <v>#DIV/0!</v>
      </c>
      <c r="AJ106" s="207" t="s">
        <v>531</v>
      </c>
      <c r="AK106" s="130" t="e">
        <f>'Model homes'!$H$281*E16*10^-6</f>
        <v>#DIV/0!</v>
      </c>
      <c r="AL106" s="130" t="e">
        <f>'Model homes'!$H$281*F16*10^-6</f>
        <v>#DIV/0!</v>
      </c>
      <c r="AM106" s="130" t="e">
        <f>'Model homes'!$H$281*G16*10^-6</f>
        <v>#DIV/0!</v>
      </c>
      <c r="AN106" s="130" t="e">
        <f>'Model homes'!$H$281*H16*10^-6</f>
        <v>#DIV/0!</v>
      </c>
    </row>
    <row r="107" spans="3:40" x14ac:dyDescent="0.3">
      <c r="J107" s="26"/>
    </row>
    <row r="108" spans="3:40" x14ac:dyDescent="0.3">
      <c r="C108" s="51" t="s">
        <v>313</v>
      </c>
      <c r="E108" s="106"/>
      <c r="J108" s="51" t="s">
        <v>532</v>
      </c>
      <c r="R108" s="51" t="s">
        <v>533</v>
      </c>
      <c r="Z108" s="51" t="s">
        <v>534</v>
      </c>
      <c r="AH108" s="51" t="s">
        <v>535</v>
      </c>
    </row>
    <row r="109" spans="3:40" x14ac:dyDescent="0.3">
      <c r="C109" s="20" t="s">
        <v>111</v>
      </c>
      <c r="D109" s="84" t="s">
        <v>536</v>
      </c>
      <c r="E109" s="42" t="e">
        <f>LOOKUP(E$39,'Model homes'!$C$203:$C$227,'Model homes'!$F$203:$F$227)*E104</f>
        <v>#N/A</v>
      </c>
      <c r="F109" s="42" t="e">
        <f>LOOKUP(F$39,'Model homes'!$C$203:$C$227,'Model homes'!$F$203:$F$227)*F104</f>
        <v>#N/A</v>
      </c>
      <c r="G109" s="42" t="e">
        <f>LOOKUP(G$39,'Model homes'!$C$203:$C$227,'Model homes'!$F$203:$F$227)*G104</f>
        <v>#N/A</v>
      </c>
      <c r="H109" s="42" t="e">
        <f>LOOKUP(H$39,'Model homes'!$C$203:$C$227,'Model homes'!$F$203:$F$227)*H104</f>
        <v>#N/A</v>
      </c>
      <c r="J109" s="213" t="s">
        <v>21</v>
      </c>
      <c r="L109" s="207" t="s">
        <v>536</v>
      </c>
      <c r="M109" s="159" t="e">
        <f>LOOKUP(E$39,'Model homes'!$C$351:$C$375,'Model homes'!$E$351:$E$375)*M104</f>
        <v>#DIV/0!</v>
      </c>
      <c r="N109" s="159" t="e">
        <f>LOOKUP(F$39,'Model homes'!$C$351:$C$375,'Model homes'!$E$351:$E$375)*N104</f>
        <v>#DIV/0!</v>
      </c>
      <c r="O109" s="159" t="e">
        <f>LOOKUP(G$39,'Model homes'!$C$351:$C$375,'Model homes'!$E$351:$E$375)*O104</f>
        <v>#DIV/0!</v>
      </c>
      <c r="P109" s="159" t="e">
        <f>LOOKUP(H$39,'Model homes'!$C$351:$C$375,'Model homes'!$E$351:$E$375)*P104</f>
        <v>#DIV/0!</v>
      </c>
      <c r="R109" s="213" t="s">
        <v>21</v>
      </c>
      <c r="T109" s="207" t="s">
        <v>536</v>
      </c>
      <c r="U109" s="159" t="e">
        <f>LOOKUP(E$39,'Model homes'!$C$351:$C$375,'Model homes'!$F$351:$F$375)*U104</f>
        <v>#DIV/0!</v>
      </c>
      <c r="V109" s="159" t="e">
        <f>LOOKUP(F$39,'Model homes'!$C$351:$C$375,'Model homes'!$F$351:$F$375)*V104</f>
        <v>#DIV/0!</v>
      </c>
      <c r="W109" s="159" t="e">
        <f>LOOKUP(G$39,'Model homes'!$C$351:$C$375,'Model homes'!$F$351:$F$375)*W104</f>
        <v>#DIV/0!</v>
      </c>
      <c r="X109" s="159" t="e">
        <f>LOOKUP(H$39,'Model homes'!$C$351:$C$375,'Model homes'!$F$351:$F$375)*X104</f>
        <v>#DIV/0!</v>
      </c>
      <c r="Z109" s="213" t="s">
        <v>21</v>
      </c>
      <c r="AB109" s="207" t="s">
        <v>536</v>
      </c>
      <c r="AC109" s="159" t="e">
        <f>LOOKUP(E$39,'Model homes'!$C$351:$C$375,'Model homes'!$G$351:$G$375)*AC104</f>
        <v>#DIV/0!</v>
      </c>
      <c r="AD109" s="159" t="e">
        <f>LOOKUP(F$39,'Model homes'!$C$351:$C$375,'Model homes'!$G$351:$G$375)*AD104</f>
        <v>#DIV/0!</v>
      </c>
      <c r="AE109" s="159" t="e">
        <f>LOOKUP(G$39,'Model homes'!$C$351:$C$375,'Model homes'!$G$351:$G$375)*AE104</f>
        <v>#DIV/0!</v>
      </c>
      <c r="AF109" s="159" t="e">
        <f>LOOKUP(H$39,'Model homes'!$C$351:$C$375,'Model homes'!$G$351:$G$375)*AF104</f>
        <v>#DIV/0!</v>
      </c>
      <c r="AH109" s="213" t="s">
        <v>21</v>
      </c>
      <c r="AJ109" s="207" t="s">
        <v>536</v>
      </c>
      <c r="AK109" s="159" t="e">
        <f>LOOKUP(E$39,'Model homes'!$C$351:$C$375,'Model homes'!$H$351:$H$375)*AK104</f>
        <v>#DIV/0!</v>
      </c>
      <c r="AL109" s="159" t="e">
        <f>LOOKUP(F$39,'Model homes'!$C$351:$C$375,'Model homes'!$H$351:$H$375)*AL104</f>
        <v>#DIV/0!</v>
      </c>
      <c r="AM109" s="159" t="e">
        <f>LOOKUP(G$39,'Model homes'!$C$351:$C$375,'Model homes'!$H$351:$H$375)*AM104</f>
        <v>#DIV/0!</v>
      </c>
      <c r="AN109" s="159" t="e">
        <f>LOOKUP(H$39,'Model homes'!$C$351:$C$375,'Model homes'!$H$351:$H$375)*AN104</f>
        <v>#DIV/0!</v>
      </c>
    </row>
    <row r="110" spans="3:40" x14ac:dyDescent="0.3">
      <c r="C110" s="84" t="s">
        <v>112</v>
      </c>
      <c r="D110" s="84" t="s">
        <v>536</v>
      </c>
      <c r="E110" s="42" t="e">
        <f>LOOKUP(E$58,'Model homes'!$C$203:$C$227,'Model homes'!$F$203:$F$227)*E105</f>
        <v>#N/A</v>
      </c>
      <c r="F110" s="42" t="e">
        <f>LOOKUP(F$58,'Model homes'!$C$203:$C$227,'Model homes'!$F$203:$F$227)*F105</f>
        <v>#N/A</v>
      </c>
      <c r="G110" s="42" t="e">
        <f>LOOKUP(G$58,'Model homes'!$C$203:$C$227,'Model homes'!$F$203:$F$227)*G105</f>
        <v>#N/A</v>
      </c>
      <c r="H110" s="42" t="e">
        <f>LOOKUP(H$58,'Model homes'!$C$203:$C$227,'Model homes'!$F$203:$F$227)*H105</f>
        <v>#N/A</v>
      </c>
      <c r="L110" s="207" t="s">
        <v>536</v>
      </c>
      <c r="M110" s="159" t="e">
        <f>LOOKUP(E$58,'Model homes'!$C$351:$C$375,'Model homes'!$E$351:$E$375)*M105</f>
        <v>#DIV/0!</v>
      </c>
      <c r="N110" s="159" t="e">
        <f>LOOKUP(F$58,'Model homes'!$C$351:$C$375,'Model homes'!$E$351:$E$375)*N105</f>
        <v>#DIV/0!</v>
      </c>
      <c r="O110" s="159" t="e">
        <f>LOOKUP(G$58,'Model homes'!$C$351:$C$375,'Model homes'!$E$351:$E$375)*O105</f>
        <v>#DIV/0!</v>
      </c>
      <c r="P110" s="159" t="e">
        <f>LOOKUP(H$58,'Model homes'!$C$351:$C$375,'Model homes'!$E$351:$E$375)*P105</f>
        <v>#DIV/0!</v>
      </c>
      <c r="R110" s="26"/>
      <c r="T110" s="207" t="s">
        <v>536</v>
      </c>
      <c r="U110" s="159" t="e">
        <f>LOOKUP(E$58,'Model homes'!$C$351:$C$375,'Model homes'!$F$351:$F$375)*U105</f>
        <v>#DIV/0!</v>
      </c>
      <c r="V110" s="159" t="e">
        <f>LOOKUP(F$58,'Model homes'!$C$351:$C$375,'Model homes'!$F$351:$F$375)*V105</f>
        <v>#DIV/0!</v>
      </c>
      <c r="W110" s="159" t="e">
        <f>LOOKUP(G$58,'Model homes'!$C$351:$C$375,'Model homes'!$F$351:$F$375)*W105</f>
        <v>#DIV/0!</v>
      </c>
      <c r="X110" s="159" t="e">
        <f>LOOKUP(H$58,'Model homes'!$C$351:$C$375,'Model homes'!$F$351:$F$375)*X105</f>
        <v>#DIV/0!</v>
      </c>
      <c r="AB110" s="207" t="s">
        <v>536</v>
      </c>
      <c r="AC110" s="159" t="e">
        <f>LOOKUP(E$58,'Model homes'!$C$351:$C$375,'Model homes'!$G$351:$G$375)*AC105</f>
        <v>#DIV/0!</v>
      </c>
      <c r="AD110" s="159" t="e">
        <f>LOOKUP(F$58,'Model homes'!$C$351:$C$375,'Model homes'!$G$351:$G$375)*AD105</f>
        <v>#DIV/0!</v>
      </c>
      <c r="AE110" s="159" t="e">
        <f>LOOKUP(G$58,'Model homes'!$C$351:$C$375,'Model homes'!$G$351:$G$375)*AE105</f>
        <v>#DIV/0!</v>
      </c>
      <c r="AF110" s="159" t="e">
        <f>LOOKUP(H$58,'Model homes'!$C$351:$C$375,'Model homes'!$G$351:$G$375)*AF105</f>
        <v>#DIV/0!</v>
      </c>
      <c r="AJ110" s="207" t="s">
        <v>536</v>
      </c>
      <c r="AK110" s="159" t="e">
        <f>LOOKUP(E$58,'Model homes'!$C$351:$C$375,'Model homes'!$H$351:$H$375)*AK105</f>
        <v>#DIV/0!</v>
      </c>
      <c r="AL110" s="159" t="e">
        <f>LOOKUP(F$58,'Model homes'!$C$351:$C$375,'Model homes'!$H$351:$H$375)*AL105</f>
        <v>#DIV/0!</v>
      </c>
      <c r="AM110" s="159" t="e">
        <f>LOOKUP(G$58,'Model homes'!$C$351:$C$375,'Model homes'!$H$351:$H$375)*AM105</f>
        <v>#DIV/0!</v>
      </c>
      <c r="AN110" s="159" t="e">
        <f>LOOKUP(H$58,'Model homes'!$C$351:$C$375,'Model homes'!$H$351:$H$375)*AN105</f>
        <v>#DIV/0!</v>
      </c>
    </row>
    <row r="111" spans="3:40" x14ac:dyDescent="0.3">
      <c r="C111" s="96" t="s">
        <v>113</v>
      </c>
      <c r="D111" s="84" t="s">
        <v>536</v>
      </c>
      <c r="E111" s="42" t="e">
        <f>LOOKUP(E$77,'Model homes'!$C$203:$C$227,'Model homes'!$F$203:$F$227)*E106</f>
        <v>#N/A</v>
      </c>
      <c r="F111" s="42" t="e">
        <f>LOOKUP(F$77,'Model homes'!$C$203:$C$227,'Model homes'!$F$203:$F$227)*F106</f>
        <v>#N/A</v>
      </c>
      <c r="G111" s="42" t="e">
        <f>LOOKUP(G$77,'Model homes'!$C$203:$C$227,'Model homes'!$F$203:$F$227)*G106</f>
        <v>#N/A</v>
      </c>
      <c r="H111" s="42" t="e">
        <f>LOOKUP(H$77,'Model homes'!$C$203:$C$227,'Model homes'!$F$203:$F$227)*H106</f>
        <v>#N/A</v>
      </c>
      <c r="L111" s="207" t="s">
        <v>536</v>
      </c>
      <c r="M111" s="159" t="e">
        <f>LOOKUP(E$77,'Model homes'!$C$351:$C$375,'Model homes'!$E$351:$E$375)*M106</f>
        <v>#DIV/0!</v>
      </c>
      <c r="N111" s="159" t="e">
        <f>LOOKUP(F$77,'Model homes'!$C$351:$C$375,'Model homes'!$E$351:$E$375)*N106</f>
        <v>#DIV/0!</v>
      </c>
      <c r="O111" s="159" t="e">
        <f>LOOKUP(G$77,'Model homes'!$C$351:$C$375,'Model homes'!$E$351:$E$375)*O106</f>
        <v>#DIV/0!</v>
      </c>
      <c r="P111" s="159" t="e">
        <f>LOOKUP(H$77,'Model homes'!$C$351:$C$375,'Model homes'!$E$351:$E$375)*P106</f>
        <v>#DIV/0!</v>
      </c>
      <c r="R111" s="26"/>
      <c r="T111" s="207" t="s">
        <v>536</v>
      </c>
      <c r="U111" s="159" t="e">
        <f>LOOKUP(E$77,'Model homes'!$C$351:$C$375,'Model homes'!$F$351:$F$375)*U106</f>
        <v>#DIV/0!</v>
      </c>
      <c r="V111" s="159" t="e">
        <f>LOOKUP(F$77,'Model homes'!$C$351:$C$375,'Model homes'!$F$351:$F$375)*V106</f>
        <v>#DIV/0!</v>
      </c>
      <c r="W111" s="159" t="e">
        <f>LOOKUP(G$77,'Model homes'!$C$351:$C$375,'Model homes'!$F$351:$F$375)*W106</f>
        <v>#DIV/0!</v>
      </c>
      <c r="X111" s="159" t="e">
        <f>LOOKUP(H$77,'Model homes'!$C$351:$C$375,'Model homes'!$F$351:$F$375)*X106</f>
        <v>#DIV/0!</v>
      </c>
      <c r="AB111" s="207" t="s">
        <v>536</v>
      </c>
      <c r="AC111" s="159" t="e">
        <f>LOOKUP(E$77,'Model homes'!$C$351:$C$375,'Model homes'!$G$351:$G$375)*AC106</f>
        <v>#DIV/0!</v>
      </c>
      <c r="AD111" s="159" t="e">
        <f>LOOKUP(F$77,'Model homes'!$C$351:$C$375,'Model homes'!$G$351:$G$375)*AD106</f>
        <v>#DIV/0!</v>
      </c>
      <c r="AE111" s="159" t="e">
        <f>LOOKUP(G$77,'Model homes'!$C$351:$C$375,'Model homes'!$G$351:$G$375)*AE106</f>
        <v>#DIV/0!</v>
      </c>
      <c r="AF111" s="159" t="e">
        <f>LOOKUP(H$77,'Model homes'!$C$351:$C$375,'Model homes'!$G$351:$G$375)*AF106</f>
        <v>#DIV/0!</v>
      </c>
      <c r="AJ111" s="207" t="s">
        <v>536</v>
      </c>
      <c r="AK111" s="159" t="e">
        <f>LOOKUP(E$77,'Model homes'!$C$351:$C$375,'Model homes'!$H$351:$H$375)*AK106</f>
        <v>#DIV/0!</v>
      </c>
      <c r="AL111" s="159" t="e">
        <f>LOOKUP(F$77,'Model homes'!$C$351:$C$375,'Model homes'!$H$351:$H$375)*AL106</f>
        <v>#DIV/0!</v>
      </c>
      <c r="AM111" s="159" t="e">
        <f>LOOKUP(G$77,'Model homes'!$C$351:$C$375,'Model homes'!$H$351:$H$375)*AM106</f>
        <v>#DIV/0!</v>
      </c>
      <c r="AN111" s="159" t="e">
        <f>LOOKUP(H$77,'Model homes'!$C$351:$C$375,'Model homes'!$H$351:$H$375)*AN106</f>
        <v>#DIV/0!</v>
      </c>
    </row>
    <row r="112" spans="3:40" x14ac:dyDescent="0.3">
      <c r="C112" s="36"/>
      <c r="D112" s="96"/>
      <c r="E112" s="55"/>
      <c r="F112" s="55"/>
      <c r="G112" s="55"/>
      <c r="H112" s="55"/>
      <c r="R112" s="42"/>
      <c r="S112" s="99"/>
    </row>
    <row r="113" spans="2:14" x14ac:dyDescent="0.3">
      <c r="C113" s="195" t="s">
        <v>303</v>
      </c>
      <c r="D113" s="17" t="s">
        <v>301</v>
      </c>
      <c r="E113" s="231">
        <f>'Model homes'!E$170</f>
        <v>0.03</v>
      </c>
    </row>
    <row r="114" spans="2:14" x14ac:dyDescent="0.3">
      <c r="J114" s="26"/>
    </row>
    <row r="115" spans="2:14" x14ac:dyDescent="0.3">
      <c r="C115" s="51" t="s">
        <v>537</v>
      </c>
      <c r="E115" s="209"/>
      <c r="J115" s="229" t="s">
        <v>538</v>
      </c>
    </row>
    <row r="116" spans="2:14" x14ac:dyDescent="0.3">
      <c r="C116" s="20" t="str">
        <f>C109</f>
        <v>Use LEDs (partly with motion sensors)</v>
      </c>
      <c r="D116" s="207" t="s">
        <v>536</v>
      </c>
      <c r="E116" s="159" t="e">
        <f>M109+U109+AC109+AK109</f>
        <v>#DIV/0!</v>
      </c>
      <c r="F116" s="159" t="e">
        <f t="shared" ref="F116:H118" si="50">N109+V109+AD109+AL109</f>
        <v>#DIV/0!</v>
      </c>
      <c r="G116" s="159" t="e">
        <f t="shared" si="50"/>
        <v>#DIV/0!</v>
      </c>
      <c r="H116" s="159" t="e">
        <f t="shared" si="50"/>
        <v>#DIV/0!</v>
      </c>
      <c r="J116" s="230">
        <f>(1-(((1+'Model homes'!$E166)/(1+E$38))^E$39))/(E$38-'Model homes'!$E166)</f>
        <v>13.054095919925354</v>
      </c>
    </row>
    <row r="117" spans="2:14" x14ac:dyDescent="0.3">
      <c r="C117" s="20" t="str">
        <f t="shared" ref="C117:C118" si="51">C110</f>
        <v>Use switchable sockets to avoid stand-by</v>
      </c>
      <c r="D117" s="207" t="s">
        <v>536</v>
      </c>
      <c r="E117" s="159" t="e">
        <f t="shared" ref="E117:E118" si="52">M110+U110+AC110+AK110</f>
        <v>#DIV/0!</v>
      </c>
      <c r="F117" s="159" t="e">
        <f t="shared" si="50"/>
        <v>#DIV/0!</v>
      </c>
      <c r="G117" s="159" t="e">
        <f t="shared" si="50"/>
        <v>#DIV/0!</v>
      </c>
      <c r="H117" s="159" t="e">
        <f t="shared" si="50"/>
        <v>#DIV/0!</v>
      </c>
      <c r="J117" s="230">
        <f>(1-(((1+'Model homes'!$E166)/(1+E$57))^E$58))/(E$57-'Model homes'!$E166)</f>
        <v>9.0147165915491776</v>
      </c>
    </row>
    <row r="118" spans="2:14" x14ac:dyDescent="0.3">
      <c r="C118" s="20" t="str">
        <f t="shared" si="51"/>
        <v>Using stand fans for reducing air conditioning operation</v>
      </c>
      <c r="D118" s="207" t="s">
        <v>536</v>
      </c>
      <c r="E118" s="159" t="e">
        <f t="shared" si="52"/>
        <v>#DIV/0!</v>
      </c>
      <c r="F118" s="159" t="e">
        <f t="shared" si="50"/>
        <v>#DIV/0!</v>
      </c>
      <c r="G118" s="159" t="e">
        <f t="shared" si="50"/>
        <v>#DIV/0!</v>
      </c>
      <c r="H118" s="159" t="e">
        <f t="shared" si="50"/>
        <v>#DIV/0!</v>
      </c>
      <c r="J118" s="230">
        <f>(1-(((1+'Model homes'!$E166)/(1+E$76))^E$77))/(E$76-'Model homes'!$E166)</f>
        <v>13.054095919925354</v>
      </c>
    </row>
    <row r="119" spans="2:14" x14ac:dyDescent="0.3">
      <c r="J119" s="26"/>
    </row>
    <row r="120" spans="2:14" ht="20.25" x14ac:dyDescent="0.35">
      <c r="C120" s="81" t="s">
        <v>856</v>
      </c>
    </row>
    <row r="121" spans="2:14" s="18" customFormat="1" ht="17.25" thickBot="1" x14ac:dyDescent="0.35">
      <c r="B121" s="19" t="s">
        <v>153</v>
      </c>
      <c r="C121" s="19" t="s">
        <v>154</v>
      </c>
      <c r="D121" s="19" t="s">
        <v>32</v>
      </c>
      <c r="E121" s="19" t="s">
        <v>155</v>
      </c>
      <c r="F121" s="19"/>
      <c r="G121" s="19" t="s">
        <v>155</v>
      </c>
      <c r="H121" s="19"/>
      <c r="I121" s="19"/>
      <c r="J121" s="56" t="s">
        <v>156</v>
      </c>
      <c r="K121" s="56"/>
    </row>
    <row r="122" spans="2:14" s="30" customFormat="1" ht="18" thickTop="1" thickBot="1" x14ac:dyDescent="0.35">
      <c r="B122" s="28"/>
      <c r="C122" s="29" t="s">
        <v>157</v>
      </c>
      <c r="D122" s="29"/>
      <c r="E122" s="335" t="s">
        <v>5</v>
      </c>
      <c r="F122" s="335"/>
      <c r="G122" s="335" t="s">
        <v>6</v>
      </c>
      <c r="H122" s="335"/>
      <c r="I122" s="28"/>
      <c r="J122" s="28"/>
      <c r="K122" s="57"/>
      <c r="M122" s="20"/>
    </row>
    <row r="123" spans="2:14" ht="18" thickTop="1" thickBot="1" x14ac:dyDescent="0.35">
      <c r="B123" s="19"/>
      <c r="C123" s="29" t="s">
        <v>158</v>
      </c>
      <c r="D123" s="29"/>
      <c r="E123" s="29" t="s">
        <v>7</v>
      </c>
      <c r="F123" s="29" t="s">
        <v>8</v>
      </c>
      <c r="G123" s="29" t="s">
        <v>7</v>
      </c>
      <c r="H123" s="29" t="s">
        <v>8</v>
      </c>
      <c r="I123" s="19"/>
      <c r="J123" s="19"/>
      <c r="K123" s="56"/>
      <c r="M123" s="82"/>
      <c r="N123" s="82"/>
    </row>
    <row r="124" spans="2:14" ht="17.25" thickTop="1" x14ac:dyDescent="0.3">
      <c r="C124" s="14" t="s">
        <v>21</v>
      </c>
      <c r="D124" s="20" t="s">
        <v>540</v>
      </c>
      <c r="E124" s="25">
        <f>'Campaign Input'!$G$12*'Data Input'!B$9</f>
        <v>0</v>
      </c>
      <c r="F124" s="25">
        <f>'Campaign Input'!$G$12*'Data Input'!C$9</f>
        <v>0</v>
      </c>
      <c r="G124" s="25">
        <f>'Campaign Input'!$G$12*'Data Input'!D$9</f>
        <v>0</v>
      </c>
      <c r="H124" s="25">
        <f>'Campaign Input'!$G$12*'Data Input'!E$9</f>
        <v>0</v>
      </c>
    </row>
    <row r="125" spans="2:14" x14ac:dyDescent="0.3">
      <c r="C125" s="84" t="s">
        <v>112</v>
      </c>
      <c r="D125" s="20" t="s">
        <v>540</v>
      </c>
      <c r="E125" s="25">
        <f>'Campaign Input'!$G$12*'Data Input'!B$9</f>
        <v>0</v>
      </c>
      <c r="F125" s="25">
        <f>'Campaign Input'!$G$12*'Data Input'!C$9</f>
        <v>0</v>
      </c>
      <c r="G125" s="25">
        <f>'Campaign Input'!$G$12*'Data Input'!D$9</f>
        <v>0</v>
      </c>
      <c r="H125" s="25">
        <f>'Campaign Input'!$G$12*'Data Input'!E$9</f>
        <v>0</v>
      </c>
    </row>
    <row r="126" spans="2:14" x14ac:dyDescent="0.3">
      <c r="C126" s="96" t="s">
        <v>113</v>
      </c>
      <c r="D126" s="20" t="s">
        <v>540</v>
      </c>
      <c r="E126" s="25">
        <f>'Campaign Input'!$G$12*'Data Input'!B$9</f>
        <v>0</v>
      </c>
      <c r="F126" s="25">
        <f>'Campaign Input'!$G$12*'Data Input'!C$9</f>
        <v>0</v>
      </c>
      <c r="G126" s="25">
        <f>'Campaign Input'!$G$12*'Data Input'!D$9</f>
        <v>0</v>
      </c>
      <c r="H126" s="25">
        <f>'Campaign Input'!$G$12*'Data Input'!E$9</f>
        <v>0</v>
      </c>
    </row>
    <row r="128" spans="2:14" x14ac:dyDescent="0.3">
      <c r="C128" s="51" t="s">
        <v>603</v>
      </c>
      <c r="D128" s="207"/>
      <c r="E128" s="208"/>
    </row>
    <row r="129" spans="3:10" x14ac:dyDescent="0.3">
      <c r="C129" s="20" t="str">
        <f>C$9</f>
        <v>Use LEDs (partly with motion sensors)</v>
      </c>
      <c r="D129" s="210" t="s">
        <v>69</v>
      </c>
      <c r="E129" s="42">
        <f>E$33*E124</f>
        <v>0</v>
      </c>
      <c r="F129" s="42">
        <f t="shared" ref="F129:H129" si="53">F$33*F124</f>
        <v>0</v>
      </c>
      <c r="G129" s="42">
        <f t="shared" si="53"/>
        <v>0</v>
      </c>
      <c r="H129" s="42">
        <f t="shared" si="53"/>
        <v>0</v>
      </c>
      <c r="J129" s="45">
        <f>SUM(E129:H129)</f>
        <v>0</v>
      </c>
    </row>
    <row r="130" spans="3:10" x14ac:dyDescent="0.3">
      <c r="C130" s="20" t="str">
        <f>C$10</f>
        <v>Use switchable sockets to avoid stand-by</v>
      </c>
      <c r="D130" s="210" t="s">
        <v>69</v>
      </c>
      <c r="E130" s="42">
        <f>E$52*E125</f>
        <v>0</v>
      </c>
      <c r="F130" s="42">
        <f t="shared" ref="F130:H130" si="54">F$52*F125</f>
        <v>0</v>
      </c>
      <c r="G130" s="42">
        <f t="shared" si="54"/>
        <v>0</v>
      </c>
      <c r="H130" s="42">
        <f t="shared" si="54"/>
        <v>0</v>
      </c>
      <c r="J130" s="45">
        <f t="shared" ref="J130:J131" si="55">SUM(E130:H130)</f>
        <v>0</v>
      </c>
    </row>
    <row r="131" spans="3:10" x14ac:dyDescent="0.3">
      <c r="C131" s="20" t="str">
        <f>C$11</f>
        <v>Using stand fans for reducing air conditioning operation</v>
      </c>
      <c r="D131" s="210" t="s">
        <v>69</v>
      </c>
      <c r="E131" s="42">
        <f>E$71*E126</f>
        <v>0</v>
      </c>
      <c r="F131" s="42">
        <f t="shared" ref="F131:H131" si="56">F$71*F126</f>
        <v>0</v>
      </c>
      <c r="G131" s="42">
        <f t="shared" si="56"/>
        <v>0</v>
      </c>
      <c r="H131" s="42">
        <f t="shared" si="56"/>
        <v>0</v>
      </c>
      <c r="J131" s="45">
        <f t="shared" si="55"/>
        <v>0</v>
      </c>
    </row>
    <row r="132" spans="3:10" x14ac:dyDescent="0.3">
      <c r="C132" s="36"/>
      <c r="D132" s="210"/>
      <c r="E132" s="55"/>
      <c r="F132" s="55"/>
      <c r="G132" s="55"/>
      <c r="H132" s="55"/>
    </row>
    <row r="133" spans="3:10" x14ac:dyDescent="0.3">
      <c r="C133" s="51" t="s">
        <v>541</v>
      </c>
      <c r="D133" s="84"/>
      <c r="E133" s="91"/>
    </row>
    <row r="134" spans="3:10" x14ac:dyDescent="0.3">
      <c r="C134" s="20" t="s">
        <v>111</v>
      </c>
      <c r="D134" s="15" t="s">
        <v>542</v>
      </c>
      <c r="E134" s="42">
        <f>E124*E14*E39</f>
        <v>0</v>
      </c>
      <c r="F134" s="42">
        <f>F124*F14*F39</f>
        <v>0</v>
      </c>
      <c r="G134" s="42">
        <f>G124*G14*G39</f>
        <v>0</v>
      </c>
      <c r="H134" s="42">
        <f>H124*H14*H39</f>
        <v>0</v>
      </c>
      <c r="J134" s="45">
        <f>SUM(E134:H134)</f>
        <v>0</v>
      </c>
    </row>
    <row r="135" spans="3:10" x14ac:dyDescent="0.3">
      <c r="C135" s="84" t="s">
        <v>112</v>
      </c>
      <c r="D135" s="15" t="s">
        <v>542</v>
      </c>
      <c r="E135" s="42">
        <f>E125*E15*E58</f>
        <v>0</v>
      </c>
      <c r="F135" s="42">
        <f>F125*F15*F58</f>
        <v>0</v>
      </c>
      <c r="G135" s="42">
        <f>G125*G15*G58</f>
        <v>0</v>
      </c>
      <c r="H135" s="42">
        <f>H125*H15*H58</f>
        <v>0</v>
      </c>
      <c r="J135" s="45">
        <f t="shared" ref="J135:J136" si="57">SUM(E135:H135)</f>
        <v>0</v>
      </c>
    </row>
    <row r="136" spans="3:10" x14ac:dyDescent="0.3">
      <c r="C136" s="96" t="s">
        <v>113</v>
      </c>
      <c r="D136" s="15" t="s">
        <v>542</v>
      </c>
      <c r="E136" s="42">
        <f>E126*E16*E77</f>
        <v>0</v>
      </c>
      <c r="F136" s="42">
        <f>F126*F16*F77</f>
        <v>0</v>
      </c>
      <c r="G136" s="42">
        <f>G126*G16*G77</f>
        <v>0</v>
      </c>
      <c r="H136" s="42">
        <f>H126*H16*H77</f>
        <v>0</v>
      </c>
      <c r="J136" s="45">
        <f t="shared" si="57"/>
        <v>0</v>
      </c>
    </row>
    <row r="137" spans="3:10" x14ac:dyDescent="0.3">
      <c r="C137" s="20"/>
      <c r="D137" s="15"/>
      <c r="E137" s="42"/>
    </row>
    <row r="138" spans="3:10" x14ac:dyDescent="0.3">
      <c r="C138" s="51" t="s">
        <v>726</v>
      </c>
      <c r="D138" s="84"/>
      <c r="E138" s="91"/>
    </row>
    <row r="139" spans="3:10" x14ac:dyDescent="0.3">
      <c r="C139" s="20" t="s">
        <v>111</v>
      </c>
      <c r="D139" s="15" t="s">
        <v>69</v>
      </c>
      <c r="E139" s="55" t="e">
        <f t="shared" ref="E139:H141" si="58">E124*E85*$J85</f>
        <v>#VALUE!</v>
      </c>
      <c r="F139" s="55" t="e">
        <f t="shared" si="58"/>
        <v>#VALUE!</v>
      </c>
      <c r="G139" s="55" t="e">
        <f t="shared" si="58"/>
        <v>#VALUE!</v>
      </c>
      <c r="H139" s="55" t="e">
        <f t="shared" si="58"/>
        <v>#VALUE!</v>
      </c>
      <c r="J139" s="45" t="e">
        <f>SUM(E139:H139)</f>
        <v>#VALUE!</v>
      </c>
    </row>
    <row r="140" spans="3:10" x14ac:dyDescent="0.3">
      <c r="C140" s="84" t="s">
        <v>112</v>
      </c>
      <c r="D140" s="15" t="s">
        <v>69</v>
      </c>
      <c r="E140" s="55" t="e">
        <f t="shared" si="58"/>
        <v>#VALUE!</v>
      </c>
      <c r="F140" s="55" t="e">
        <f t="shared" si="58"/>
        <v>#VALUE!</v>
      </c>
      <c r="G140" s="55" t="e">
        <f t="shared" si="58"/>
        <v>#VALUE!</v>
      </c>
      <c r="H140" s="55" t="e">
        <f t="shared" si="58"/>
        <v>#VALUE!</v>
      </c>
      <c r="J140" s="45" t="e">
        <f t="shared" ref="J140:J141" si="59">SUM(E140:H140)</f>
        <v>#VALUE!</v>
      </c>
    </row>
    <row r="141" spans="3:10" x14ac:dyDescent="0.3">
      <c r="C141" s="96" t="s">
        <v>113</v>
      </c>
      <c r="D141" s="15" t="s">
        <v>69</v>
      </c>
      <c r="E141" s="55" t="e">
        <f t="shared" si="58"/>
        <v>#VALUE!</v>
      </c>
      <c r="F141" s="55" t="e">
        <f t="shared" si="58"/>
        <v>#VALUE!</v>
      </c>
      <c r="G141" s="55" t="e">
        <f t="shared" si="58"/>
        <v>#VALUE!</v>
      </c>
      <c r="H141" s="55" t="e">
        <f t="shared" si="58"/>
        <v>#VALUE!</v>
      </c>
      <c r="J141" s="45" t="e">
        <f t="shared" si="59"/>
        <v>#VALUE!</v>
      </c>
    </row>
    <row r="143" spans="3:10" x14ac:dyDescent="0.3">
      <c r="C143" s="51" t="s">
        <v>522</v>
      </c>
      <c r="D143" s="84"/>
      <c r="E143" s="91"/>
    </row>
    <row r="144" spans="3:10" x14ac:dyDescent="0.3">
      <c r="C144" s="20" t="s">
        <v>111</v>
      </c>
      <c r="D144" s="84" t="s">
        <v>527</v>
      </c>
      <c r="E144" s="42" t="e">
        <f t="shared" ref="E144:H146" si="60">E124*E104</f>
        <v>#N/A</v>
      </c>
      <c r="F144" s="42" t="e">
        <f t="shared" si="60"/>
        <v>#N/A</v>
      </c>
      <c r="G144" s="42" t="e">
        <f t="shared" si="60"/>
        <v>#N/A</v>
      </c>
      <c r="H144" s="42" t="e">
        <f t="shared" si="60"/>
        <v>#N/A</v>
      </c>
      <c r="J144" s="136"/>
    </row>
    <row r="145" spans="3:10" x14ac:dyDescent="0.3">
      <c r="C145" s="84" t="s">
        <v>112</v>
      </c>
      <c r="D145" s="84" t="s">
        <v>527</v>
      </c>
      <c r="E145" s="42" t="e">
        <f t="shared" si="60"/>
        <v>#N/A</v>
      </c>
      <c r="F145" s="42" t="e">
        <f t="shared" si="60"/>
        <v>#N/A</v>
      </c>
      <c r="G145" s="42" t="e">
        <f t="shared" si="60"/>
        <v>#N/A</v>
      </c>
      <c r="H145" s="42" t="e">
        <f t="shared" si="60"/>
        <v>#N/A</v>
      </c>
      <c r="J145" s="136"/>
    </row>
    <row r="146" spans="3:10" x14ac:dyDescent="0.3">
      <c r="C146" s="96" t="s">
        <v>113</v>
      </c>
      <c r="D146" s="84" t="s">
        <v>527</v>
      </c>
      <c r="E146" s="42" t="e">
        <f t="shared" si="60"/>
        <v>#N/A</v>
      </c>
      <c r="F146" s="42" t="e">
        <f t="shared" si="60"/>
        <v>#N/A</v>
      </c>
      <c r="G146" s="42" t="e">
        <f t="shared" si="60"/>
        <v>#N/A</v>
      </c>
      <c r="H146" s="42" t="e">
        <f t="shared" si="60"/>
        <v>#N/A</v>
      </c>
      <c r="J146" s="136"/>
    </row>
    <row r="147" spans="3:10" x14ac:dyDescent="0.3">
      <c r="C147" s="20"/>
      <c r="E147" s="42"/>
    </row>
    <row r="148" spans="3:10" x14ac:dyDescent="0.3">
      <c r="C148" s="51" t="s">
        <v>544</v>
      </c>
      <c r="D148" s="207"/>
      <c r="E148" s="208"/>
    </row>
    <row r="149" spans="3:10" x14ac:dyDescent="0.3">
      <c r="C149" s="20" t="s">
        <v>111</v>
      </c>
      <c r="D149" s="207" t="s">
        <v>605</v>
      </c>
      <c r="E149" s="97" t="e">
        <f>E144*E39</f>
        <v>#N/A</v>
      </c>
      <c r="F149" s="97" t="e">
        <f>F144*F39</f>
        <v>#N/A</v>
      </c>
      <c r="G149" s="97" t="e">
        <f>G144*G39</f>
        <v>#N/A</v>
      </c>
      <c r="H149" s="97" t="e">
        <f>H144*H39</f>
        <v>#N/A</v>
      </c>
      <c r="J149" s="136" t="e">
        <f>SUM(E149:H149)</f>
        <v>#N/A</v>
      </c>
    </row>
    <row r="150" spans="3:10" x14ac:dyDescent="0.3">
      <c r="C150" s="84" t="s">
        <v>112</v>
      </c>
      <c r="D150" s="207" t="s">
        <v>605</v>
      </c>
      <c r="E150" s="97" t="e">
        <f>E145*E58</f>
        <v>#N/A</v>
      </c>
      <c r="F150" s="97" t="e">
        <f>F145*F58</f>
        <v>#N/A</v>
      </c>
      <c r="G150" s="97" t="e">
        <f>G145*G58</f>
        <v>#N/A</v>
      </c>
      <c r="H150" s="97" t="e">
        <f>H145*H58</f>
        <v>#N/A</v>
      </c>
      <c r="J150" s="136" t="e">
        <f t="shared" ref="J150:J151" si="61">SUM(E150:H150)</f>
        <v>#N/A</v>
      </c>
    </row>
    <row r="151" spans="3:10" x14ac:dyDescent="0.3">
      <c r="C151" s="96" t="s">
        <v>113</v>
      </c>
      <c r="D151" s="207" t="s">
        <v>605</v>
      </c>
      <c r="E151" s="97" t="e">
        <f>E146*E77</f>
        <v>#N/A</v>
      </c>
      <c r="F151" s="97" t="e">
        <f>F146*F77</f>
        <v>#N/A</v>
      </c>
      <c r="G151" s="97" t="e">
        <f>G146*G77</f>
        <v>#N/A</v>
      </c>
      <c r="H151" s="97" t="e">
        <f>H146*H77</f>
        <v>#N/A</v>
      </c>
      <c r="J151" s="136" t="e">
        <f t="shared" si="61"/>
        <v>#N/A</v>
      </c>
    </row>
    <row r="152" spans="3:10" x14ac:dyDescent="0.3">
      <c r="C152" s="96"/>
      <c r="D152" s="237"/>
      <c r="E152" s="63"/>
      <c r="F152" s="63"/>
      <c r="G152" s="63"/>
      <c r="H152" s="63"/>
    </row>
    <row r="153" spans="3:10" x14ac:dyDescent="0.3">
      <c r="C153" s="51" t="s">
        <v>313</v>
      </c>
      <c r="E153" s="91"/>
    </row>
    <row r="154" spans="3:10" x14ac:dyDescent="0.3">
      <c r="C154" s="20" t="s">
        <v>111</v>
      </c>
      <c r="D154" s="84" t="s">
        <v>272</v>
      </c>
      <c r="E154" s="42" t="e">
        <f t="shared" ref="E154:H156" si="62">E124*E109</f>
        <v>#N/A</v>
      </c>
      <c r="F154" s="42" t="e">
        <f t="shared" si="62"/>
        <v>#N/A</v>
      </c>
      <c r="G154" s="42" t="e">
        <f t="shared" si="62"/>
        <v>#N/A</v>
      </c>
      <c r="H154" s="42" t="e">
        <f t="shared" si="62"/>
        <v>#N/A</v>
      </c>
      <c r="J154" s="45"/>
    </row>
    <row r="155" spans="3:10" x14ac:dyDescent="0.3">
      <c r="C155" s="84" t="s">
        <v>112</v>
      </c>
      <c r="D155" s="15" t="s">
        <v>272</v>
      </c>
      <c r="E155" s="42" t="e">
        <f t="shared" si="62"/>
        <v>#N/A</v>
      </c>
      <c r="F155" s="42" t="e">
        <f t="shared" si="62"/>
        <v>#N/A</v>
      </c>
      <c r="G155" s="42" t="e">
        <f t="shared" si="62"/>
        <v>#N/A</v>
      </c>
      <c r="H155" s="42" t="e">
        <f t="shared" si="62"/>
        <v>#N/A</v>
      </c>
      <c r="J155" s="45"/>
    </row>
    <row r="156" spans="3:10" x14ac:dyDescent="0.3">
      <c r="C156" s="96" t="s">
        <v>113</v>
      </c>
      <c r="D156" s="15" t="s">
        <v>272</v>
      </c>
      <c r="E156" s="42" t="e">
        <f t="shared" si="62"/>
        <v>#N/A</v>
      </c>
      <c r="F156" s="42" t="e">
        <f t="shared" si="62"/>
        <v>#N/A</v>
      </c>
      <c r="G156" s="42" t="e">
        <f t="shared" si="62"/>
        <v>#N/A</v>
      </c>
      <c r="H156" s="42" t="e">
        <f t="shared" si="62"/>
        <v>#N/A</v>
      </c>
      <c r="J156" s="45"/>
    </row>
    <row r="158" spans="3:10" x14ac:dyDescent="0.3">
      <c r="C158" s="51" t="s">
        <v>546</v>
      </c>
      <c r="E158" s="208"/>
    </row>
    <row r="159" spans="3:10" x14ac:dyDescent="0.3">
      <c r="C159" s="20" t="s">
        <v>111</v>
      </c>
      <c r="D159" s="207" t="s">
        <v>69</v>
      </c>
      <c r="E159" s="42" t="e">
        <f>E154*$J116</f>
        <v>#N/A</v>
      </c>
      <c r="F159" s="42" t="e">
        <f t="shared" ref="F159:H159" si="63">F154*$J116</f>
        <v>#N/A</v>
      </c>
      <c r="G159" s="42" t="e">
        <f t="shared" si="63"/>
        <v>#N/A</v>
      </c>
      <c r="H159" s="42" t="e">
        <f t="shared" si="63"/>
        <v>#N/A</v>
      </c>
      <c r="J159" s="45" t="e">
        <f>SUM(E159:H159)</f>
        <v>#N/A</v>
      </c>
    </row>
    <row r="160" spans="3:10" x14ac:dyDescent="0.3">
      <c r="C160" s="84" t="s">
        <v>112</v>
      </c>
      <c r="D160" s="207" t="s">
        <v>69</v>
      </c>
      <c r="E160" s="42" t="e">
        <f>E155*$J117</f>
        <v>#N/A</v>
      </c>
      <c r="F160" s="42" t="e">
        <f t="shared" ref="F160:H161" si="64">F155*$J117</f>
        <v>#N/A</v>
      </c>
      <c r="G160" s="42" t="e">
        <f t="shared" si="64"/>
        <v>#N/A</v>
      </c>
      <c r="H160" s="42" t="e">
        <f t="shared" si="64"/>
        <v>#N/A</v>
      </c>
      <c r="J160" s="45" t="e">
        <f t="shared" ref="J160:J161" si="65">SUM(E160:H160)</f>
        <v>#N/A</v>
      </c>
    </row>
    <row r="161" spans="3:10" x14ac:dyDescent="0.3">
      <c r="C161" s="96" t="s">
        <v>113</v>
      </c>
      <c r="D161" s="207" t="s">
        <v>69</v>
      </c>
      <c r="E161" s="42" t="e">
        <f>E156*$J118</f>
        <v>#N/A</v>
      </c>
      <c r="F161" s="42" t="e">
        <f t="shared" si="64"/>
        <v>#N/A</v>
      </c>
      <c r="G161" s="42" t="e">
        <f t="shared" si="64"/>
        <v>#N/A</v>
      </c>
      <c r="H161" s="42" t="e">
        <f t="shared" si="64"/>
        <v>#N/A</v>
      </c>
      <c r="J161" s="45" t="e">
        <f t="shared" si="65"/>
        <v>#N/A</v>
      </c>
    </row>
    <row r="163" spans="3:10" x14ac:dyDescent="0.3">
      <c r="C163" s="51" t="s">
        <v>547</v>
      </c>
    </row>
    <row r="164" spans="3:10" x14ac:dyDescent="0.3">
      <c r="C164" s="209" t="str">
        <f>C159</f>
        <v>Use LEDs (partly with motion sensors)</v>
      </c>
      <c r="D164" s="207" t="s">
        <v>548</v>
      </c>
      <c r="E164" s="160" t="e">
        <f>E124*(M104+U104+AC104+AK104)</f>
        <v>#DIV/0!</v>
      </c>
      <c r="F164" s="160" t="e">
        <f t="shared" ref="F164:H164" si="66">F124*(N104+V104+AD104+AL104)</f>
        <v>#DIV/0!</v>
      </c>
      <c r="G164" s="160" t="e">
        <f t="shared" si="66"/>
        <v>#DIV/0!</v>
      </c>
      <c r="H164" s="160" t="e">
        <f t="shared" si="66"/>
        <v>#DIV/0!</v>
      </c>
    </row>
    <row r="165" spans="3:10" x14ac:dyDescent="0.3">
      <c r="C165" s="209" t="str">
        <f>C160</f>
        <v>Use switchable sockets to avoid stand-by</v>
      </c>
      <c r="D165" s="207" t="s">
        <v>548</v>
      </c>
      <c r="E165" s="160" t="e">
        <f>E125*(M105+U105+AC105+AK105)</f>
        <v>#DIV/0!</v>
      </c>
      <c r="F165" s="160" t="e">
        <f t="shared" ref="F165:H166" si="67">F125*(N105+V105+AD105+AL105)</f>
        <v>#DIV/0!</v>
      </c>
      <c r="G165" s="160" t="e">
        <f t="shared" si="67"/>
        <v>#DIV/0!</v>
      </c>
      <c r="H165" s="160" t="e">
        <f t="shared" si="67"/>
        <v>#DIV/0!</v>
      </c>
    </row>
    <row r="166" spans="3:10" x14ac:dyDescent="0.3">
      <c r="C166" s="209" t="str">
        <f>C161</f>
        <v>Using stand fans for reducing air conditioning operation</v>
      </c>
      <c r="D166" s="207" t="s">
        <v>548</v>
      </c>
      <c r="E166" s="160" t="e">
        <f>E126*(M106+U106+AC106+AK106)</f>
        <v>#DIV/0!</v>
      </c>
      <c r="F166" s="160" t="e">
        <f t="shared" si="67"/>
        <v>#DIV/0!</v>
      </c>
      <c r="G166" s="160" t="e">
        <f t="shared" si="67"/>
        <v>#DIV/0!</v>
      </c>
      <c r="H166" s="160" t="e">
        <f t="shared" si="67"/>
        <v>#DIV/0!</v>
      </c>
    </row>
    <row r="168" spans="3:10" x14ac:dyDescent="0.3">
      <c r="C168" s="51" t="s">
        <v>549</v>
      </c>
    </row>
    <row r="169" spans="3:10" x14ac:dyDescent="0.3">
      <c r="C169" s="209" t="str">
        <f>C164</f>
        <v>Use LEDs (partly with motion sensors)</v>
      </c>
      <c r="D169" s="207" t="s">
        <v>550</v>
      </c>
      <c r="E169" s="160" t="e">
        <f>E164*E$39</f>
        <v>#DIV/0!</v>
      </c>
      <c r="F169" s="160" t="e">
        <f t="shared" ref="F169:H169" si="68">F164*F$39</f>
        <v>#DIV/0!</v>
      </c>
      <c r="G169" s="160" t="e">
        <f t="shared" si="68"/>
        <v>#DIV/0!</v>
      </c>
      <c r="H169" s="160" t="e">
        <f t="shared" si="68"/>
        <v>#DIV/0!</v>
      </c>
      <c r="J169" s="200" t="e">
        <f>SUM(E169:H169)</f>
        <v>#DIV/0!</v>
      </c>
    </row>
    <row r="170" spans="3:10" x14ac:dyDescent="0.3">
      <c r="C170" s="209" t="str">
        <f>C165</f>
        <v>Use switchable sockets to avoid stand-by</v>
      </c>
      <c r="D170" s="207" t="s">
        <v>550</v>
      </c>
      <c r="E170" s="160" t="e">
        <f>E165*E$58</f>
        <v>#DIV/0!</v>
      </c>
      <c r="F170" s="160" t="e">
        <f t="shared" ref="F170:H170" si="69">F165*F$58</f>
        <v>#DIV/0!</v>
      </c>
      <c r="G170" s="160" t="e">
        <f t="shared" si="69"/>
        <v>#DIV/0!</v>
      </c>
      <c r="H170" s="160" t="e">
        <f t="shared" si="69"/>
        <v>#DIV/0!</v>
      </c>
      <c r="J170" s="200" t="e">
        <f t="shared" ref="J170:J171" si="70">SUM(E170:H170)</f>
        <v>#DIV/0!</v>
      </c>
    </row>
    <row r="171" spans="3:10" x14ac:dyDescent="0.3">
      <c r="C171" s="209" t="str">
        <f>C166</f>
        <v>Using stand fans for reducing air conditioning operation</v>
      </c>
      <c r="D171" s="207" t="s">
        <v>550</v>
      </c>
      <c r="E171" s="160" t="e">
        <f>E166*E$77</f>
        <v>#DIV/0!</v>
      </c>
      <c r="F171" s="160" t="e">
        <f t="shared" ref="F171:H171" si="71">F166*F$77</f>
        <v>#DIV/0!</v>
      </c>
      <c r="G171" s="160" t="e">
        <f t="shared" si="71"/>
        <v>#DIV/0!</v>
      </c>
      <c r="H171" s="160" t="e">
        <f t="shared" si="71"/>
        <v>#DIV/0!</v>
      </c>
      <c r="J171" s="200" t="e">
        <f t="shared" si="70"/>
        <v>#DIV/0!</v>
      </c>
    </row>
    <row r="173" spans="3:10" x14ac:dyDescent="0.3">
      <c r="C173" s="51" t="s">
        <v>537</v>
      </c>
      <c r="E173" s="159"/>
    </row>
    <row r="174" spans="3:10" x14ac:dyDescent="0.3">
      <c r="C174" s="209" t="str">
        <f>C164</f>
        <v>Use LEDs (partly with motion sensors)</v>
      </c>
      <c r="D174" s="207" t="s">
        <v>272</v>
      </c>
      <c r="E174" s="159" t="e">
        <f>E116*E124</f>
        <v>#DIV/0!</v>
      </c>
      <c r="F174" s="159" t="e">
        <f t="shared" ref="F174:H174" si="72">F116*F124</f>
        <v>#DIV/0!</v>
      </c>
      <c r="G174" s="159" t="e">
        <f t="shared" si="72"/>
        <v>#DIV/0!</v>
      </c>
      <c r="H174" s="159" t="e">
        <f t="shared" si="72"/>
        <v>#DIV/0!</v>
      </c>
    </row>
    <row r="175" spans="3:10" x14ac:dyDescent="0.3">
      <c r="C175" s="209" t="str">
        <f>C165</f>
        <v>Use switchable sockets to avoid stand-by</v>
      </c>
      <c r="D175" s="207" t="s">
        <v>272</v>
      </c>
      <c r="E175" s="159" t="e">
        <f>E117*E125</f>
        <v>#DIV/0!</v>
      </c>
      <c r="F175" s="159" t="e">
        <f t="shared" ref="F175:H176" si="73">F117*F125</f>
        <v>#DIV/0!</v>
      </c>
      <c r="G175" s="159" t="e">
        <f t="shared" si="73"/>
        <v>#DIV/0!</v>
      </c>
      <c r="H175" s="159" t="e">
        <f t="shared" si="73"/>
        <v>#DIV/0!</v>
      </c>
    </row>
    <row r="176" spans="3:10" x14ac:dyDescent="0.3">
      <c r="C176" s="209" t="str">
        <f>C166</f>
        <v>Using stand fans for reducing air conditioning operation</v>
      </c>
      <c r="D176" s="207" t="s">
        <v>272</v>
      </c>
      <c r="E176" s="159" t="e">
        <f>E118*E126</f>
        <v>#DIV/0!</v>
      </c>
      <c r="F176" s="159" t="e">
        <f t="shared" si="73"/>
        <v>#DIV/0!</v>
      </c>
      <c r="G176" s="159" t="e">
        <f t="shared" si="73"/>
        <v>#DIV/0!</v>
      </c>
      <c r="H176" s="159" t="e">
        <f t="shared" si="73"/>
        <v>#DIV/0!</v>
      </c>
    </row>
    <row r="178" spans="3:10" x14ac:dyDescent="0.3">
      <c r="C178" s="51" t="s">
        <v>551</v>
      </c>
    </row>
    <row r="179" spans="3:10" x14ac:dyDescent="0.3">
      <c r="C179" s="209" t="str">
        <f>C174</f>
        <v>Use LEDs (partly with motion sensors)</v>
      </c>
      <c r="D179" s="207" t="s">
        <v>69</v>
      </c>
      <c r="E179" s="159" t="e">
        <f>E174*$J116</f>
        <v>#DIV/0!</v>
      </c>
      <c r="F179" s="159" t="e">
        <f t="shared" ref="F179:H179" si="74">F174*$J116</f>
        <v>#DIV/0!</v>
      </c>
      <c r="G179" s="159" t="e">
        <f t="shared" si="74"/>
        <v>#DIV/0!</v>
      </c>
      <c r="H179" s="159" t="e">
        <f t="shared" si="74"/>
        <v>#DIV/0!</v>
      </c>
      <c r="J179" s="45" t="e">
        <f>SUM(E179:H179)</f>
        <v>#DIV/0!</v>
      </c>
    </row>
    <row r="180" spans="3:10" x14ac:dyDescent="0.3">
      <c r="C180" s="209" t="str">
        <f>C175</f>
        <v>Use switchable sockets to avoid stand-by</v>
      </c>
      <c r="D180" s="207" t="s">
        <v>69</v>
      </c>
      <c r="E180" s="159" t="e">
        <f>E175*$J117</f>
        <v>#DIV/0!</v>
      </c>
      <c r="F180" s="159" t="e">
        <f t="shared" ref="F180:H181" si="75">F175*$J117</f>
        <v>#DIV/0!</v>
      </c>
      <c r="G180" s="159" t="e">
        <f t="shared" si="75"/>
        <v>#DIV/0!</v>
      </c>
      <c r="H180" s="159" t="e">
        <f t="shared" si="75"/>
        <v>#DIV/0!</v>
      </c>
      <c r="J180" s="45" t="e">
        <f t="shared" ref="J180:J181" si="76">SUM(E180:H180)</f>
        <v>#DIV/0!</v>
      </c>
    </row>
    <row r="181" spans="3:10" x14ac:dyDescent="0.3">
      <c r="C181" s="209" t="str">
        <f>C176</f>
        <v>Using stand fans for reducing air conditioning operation</v>
      </c>
      <c r="D181" s="207" t="s">
        <v>69</v>
      </c>
      <c r="E181" s="159" t="e">
        <f>E176*$J118</f>
        <v>#DIV/0!</v>
      </c>
      <c r="F181" s="159" t="e">
        <f t="shared" si="75"/>
        <v>#DIV/0!</v>
      </c>
      <c r="G181" s="159" t="e">
        <f t="shared" si="75"/>
        <v>#DIV/0!</v>
      </c>
      <c r="H181" s="159" t="e">
        <f t="shared" si="75"/>
        <v>#DIV/0!</v>
      </c>
      <c r="J181" s="45" t="e">
        <f t="shared" si="76"/>
        <v>#DIV/0!</v>
      </c>
    </row>
  </sheetData>
  <sheetProtection algorithmName="SHA-512" hashValue="wu+BSpq4MLEzNrmTcFYmNtLot+ubDt11R8t4itREd0JvJah93bT2rI2/lZigfPAfTxj5Jww3Jp9UvGBzQ25Xfg==" saltValue="kgJSDQGfe2RVF59VeqXKBA==" spinCount="100000" sheet="1" objects="1" scenarios="1"/>
  <mergeCells count="8">
    <mergeCell ref="E122:F122"/>
    <mergeCell ref="G122:H122"/>
    <mergeCell ref="E6:F6"/>
    <mergeCell ref="G6:H6"/>
    <mergeCell ref="E20:F20"/>
    <mergeCell ref="G20:H20"/>
    <mergeCell ref="E91:F91"/>
    <mergeCell ref="G91:H91"/>
  </mergeCells>
  <phoneticPr fontId="21" type="noConversion"/>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A9BCE-B423-4971-8784-38341887B7B9}">
  <sheetPr>
    <tabColor theme="7" tint="0.59999389629810485"/>
  </sheetPr>
  <dimension ref="B2:AN273"/>
  <sheetViews>
    <sheetView zoomScaleNormal="100" workbookViewId="0">
      <pane ySplit="7" topLeftCell="A8" activePane="bottomLeft" state="frozen"/>
      <selection activeCell="B1" sqref="B1"/>
      <selection pane="bottomLeft" activeCell="B9" sqref="B9"/>
    </sheetView>
  </sheetViews>
  <sheetFormatPr baseColWidth="10" defaultColWidth="8.85546875" defaultRowHeight="16.5" x14ac:dyDescent="0.3"/>
  <cols>
    <col min="1" max="1" width="4.5703125" style="17" customWidth="1"/>
    <col min="2" max="2" width="8.85546875" style="17"/>
    <col min="3" max="3" width="59.5703125" style="17" customWidth="1"/>
    <col min="4" max="4" width="11.5703125" style="17" customWidth="1"/>
    <col min="5" max="8" width="16" style="17" customWidth="1"/>
    <col min="9" max="9" width="8.85546875" style="17"/>
    <col min="10" max="10" width="14.85546875" style="17" bestFit="1" customWidth="1"/>
    <col min="11" max="12" width="8.85546875" style="17"/>
    <col min="13" max="13" width="9.85546875" style="17" customWidth="1"/>
    <col min="14" max="35" width="8.85546875" style="17"/>
    <col min="36" max="36" width="11.5703125" style="17" bestFit="1" customWidth="1"/>
    <col min="37" max="16384" width="8.85546875" style="17"/>
  </cols>
  <sheetData>
    <row r="2" spans="2:15" s="16" customFormat="1" ht="17.25" x14ac:dyDescent="0.3">
      <c r="C2" s="16" t="s">
        <v>145</v>
      </c>
      <c r="D2" s="16" t="s">
        <v>146</v>
      </c>
      <c r="M2" s="201"/>
    </row>
    <row r="3" spans="2:15" x14ac:dyDescent="0.3">
      <c r="M3" s="169"/>
    </row>
    <row r="4" spans="2:15" ht="20.25" x14ac:dyDescent="0.35">
      <c r="B4" s="77"/>
      <c r="C4" s="81" t="s">
        <v>857</v>
      </c>
      <c r="D4" s="76"/>
    </row>
    <row r="5" spans="2:15" s="18" customFormat="1" ht="17.25" thickBot="1" x14ac:dyDescent="0.35">
      <c r="B5" s="19" t="s">
        <v>153</v>
      </c>
      <c r="C5" s="19" t="s">
        <v>154</v>
      </c>
      <c r="D5" s="19" t="s">
        <v>32</v>
      </c>
      <c r="E5" s="19" t="s">
        <v>155</v>
      </c>
      <c r="F5" s="19"/>
      <c r="G5" s="19" t="s">
        <v>155</v>
      </c>
      <c r="H5" s="19"/>
      <c r="I5" s="19"/>
      <c r="J5" s="56" t="s">
        <v>156</v>
      </c>
      <c r="K5" s="56"/>
    </row>
    <row r="6" spans="2:15" s="30" customFormat="1" ht="18" thickTop="1" thickBot="1" x14ac:dyDescent="0.35">
      <c r="B6" s="28"/>
      <c r="C6" s="29" t="s">
        <v>157</v>
      </c>
      <c r="D6" s="29"/>
      <c r="E6" s="335" t="s">
        <v>5</v>
      </c>
      <c r="F6" s="335"/>
      <c r="G6" s="335" t="s">
        <v>6</v>
      </c>
      <c r="H6" s="335"/>
      <c r="I6" s="28"/>
      <c r="J6" s="28"/>
      <c r="K6" s="57"/>
    </row>
    <row r="7" spans="2:15" ht="18" thickTop="1" thickBot="1" x14ac:dyDescent="0.35">
      <c r="B7" s="19"/>
      <c r="C7" s="29" t="s">
        <v>158</v>
      </c>
      <c r="D7" s="29"/>
      <c r="E7" s="29" t="s">
        <v>7</v>
      </c>
      <c r="F7" s="29" t="s">
        <v>8</v>
      </c>
      <c r="G7" s="29" t="s">
        <v>7</v>
      </c>
      <c r="H7" s="29" t="s">
        <v>8</v>
      </c>
      <c r="I7" s="19"/>
      <c r="J7" s="19"/>
      <c r="K7" s="56"/>
    </row>
    <row r="8" spans="2:15" ht="17.25" thickTop="1" x14ac:dyDescent="0.3">
      <c r="C8" s="49" t="s">
        <v>717</v>
      </c>
    </row>
    <row r="9" spans="2:15" x14ac:dyDescent="0.3">
      <c r="C9" s="20" t="s">
        <v>114</v>
      </c>
      <c r="D9" s="15" t="s">
        <v>188</v>
      </c>
      <c r="E9" s="25">
        <v>60</v>
      </c>
      <c r="F9" s="128" t="s">
        <v>858</v>
      </c>
      <c r="H9" s="128"/>
      <c r="J9" s="103">
        <v>60</v>
      </c>
      <c r="M9" s="6" t="s">
        <v>859</v>
      </c>
    </row>
    <row r="10" spans="2:15" x14ac:dyDescent="0.3">
      <c r="C10" s="20" t="s">
        <v>115</v>
      </c>
      <c r="D10" s="15" t="s">
        <v>188</v>
      </c>
      <c r="E10" s="25">
        <v>80</v>
      </c>
      <c r="F10" s="128" t="s">
        <v>858</v>
      </c>
      <c r="H10" s="128"/>
      <c r="J10" s="103">
        <v>80</v>
      </c>
      <c r="M10" s="6" t="s">
        <v>860</v>
      </c>
      <c r="N10" s="20"/>
      <c r="O10" s="20"/>
    </row>
    <row r="11" spans="2:15" x14ac:dyDescent="0.3">
      <c r="C11" s="96" t="s">
        <v>861</v>
      </c>
      <c r="D11" s="15" t="s">
        <v>188</v>
      </c>
      <c r="E11" s="131">
        <v>70</v>
      </c>
      <c r="F11" s="132"/>
      <c r="J11" s="103">
        <f>'eDevices_general+behavior'!N14*100</f>
        <v>68.695652173913047</v>
      </c>
      <c r="K11" s="141" t="s">
        <v>862</v>
      </c>
      <c r="L11" s="26"/>
      <c r="M11" s="26"/>
      <c r="N11" s="36"/>
      <c r="O11" s="36"/>
    </row>
    <row r="12" spans="2:15" x14ac:dyDescent="0.3">
      <c r="C12" s="96" t="s">
        <v>863</v>
      </c>
      <c r="D12" s="15" t="s">
        <v>188</v>
      </c>
      <c r="E12" s="131">
        <v>50</v>
      </c>
      <c r="F12" s="132"/>
      <c r="J12" s="103">
        <f>'eDevices_general+behavior'!N15*100</f>
        <v>52</v>
      </c>
      <c r="K12" s="141" t="s">
        <v>862</v>
      </c>
      <c r="L12" s="26"/>
      <c r="M12" s="26"/>
      <c r="N12" s="36"/>
      <c r="O12" s="36"/>
    </row>
    <row r="13" spans="2:15" x14ac:dyDescent="0.3">
      <c r="C13" s="96" t="s">
        <v>864</v>
      </c>
      <c r="D13" s="15" t="s">
        <v>188</v>
      </c>
      <c r="E13" s="131">
        <v>50</v>
      </c>
      <c r="F13" s="132"/>
      <c r="J13" s="103">
        <f>'eDevices_general+behavior'!N16*100</f>
        <v>50.537634408602152</v>
      </c>
      <c r="K13" s="141" t="s">
        <v>862</v>
      </c>
      <c r="L13" s="26"/>
      <c r="M13" s="26"/>
      <c r="N13" s="36"/>
      <c r="O13" s="36"/>
    </row>
    <row r="14" spans="2:15" x14ac:dyDescent="0.3">
      <c r="C14" s="96" t="s">
        <v>865</v>
      </c>
      <c r="D14" s="15" t="s">
        <v>188</v>
      </c>
      <c r="E14" s="131">
        <v>55</v>
      </c>
      <c r="F14" s="132"/>
      <c r="J14" s="103">
        <f>'eDevices_general+behavior'!N11*100</f>
        <v>54.61818181818181</v>
      </c>
      <c r="K14" s="141" t="s">
        <v>862</v>
      </c>
      <c r="L14" s="26"/>
      <c r="M14" s="26"/>
      <c r="N14" s="36"/>
      <c r="O14" s="36"/>
    </row>
    <row r="15" spans="2:15" x14ac:dyDescent="0.3">
      <c r="C15" s="96"/>
      <c r="M15" s="36"/>
      <c r="N15" s="36"/>
      <c r="O15" s="36"/>
    </row>
    <row r="16" spans="2:15" x14ac:dyDescent="0.3">
      <c r="C16" s="51" t="s">
        <v>724</v>
      </c>
      <c r="F16" s="142"/>
      <c r="J16" s="17" t="s">
        <v>478</v>
      </c>
      <c r="K16" s="17" t="s">
        <v>479</v>
      </c>
    </row>
    <row r="17" spans="2:24" x14ac:dyDescent="0.3">
      <c r="C17" s="20" t="str">
        <f>C$9</f>
        <v>Replacing old circulation pumps for domestic hot water transport</v>
      </c>
      <c r="D17" s="15" t="s">
        <v>191</v>
      </c>
      <c r="E17" s="42">
        <f>IF('eDevices_general+behavior'!E34&gt;100,$E9%*'eDevices_general+behavior'!E34,)</f>
        <v>106.48516949957653</v>
      </c>
      <c r="F17" s="42">
        <f>IF('eDevices_general+behavior'!F34&gt;100,$E9%*'eDevices_general+behavior'!F34,)</f>
        <v>100.85573306677715</v>
      </c>
      <c r="G17" s="42">
        <f>IF('eDevices_general+behavior'!G34&gt;100,$E9%*'eDevices_general+behavior'!G34,)</f>
        <v>117.90455997257223</v>
      </c>
      <c r="H17" s="42">
        <f>IF('eDevices_general+behavior'!H34&gt;100,$E9%*'eDevices_general+behavior'!H34,)</f>
        <v>112.96505628038693</v>
      </c>
      <c r="J17" s="45">
        <f>AVERAGE(E17:H17)</f>
        <v>109.55262970482822</v>
      </c>
      <c r="K17" s="45" t="e">
        <f t="shared" ref="K17:K22" si="0">AVERAGEIFS($E17:$H17,$J135:$M135,"yes")</f>
        <v>#DIV/0!</v>
      </c>
    </row>
    <row r="18" spans="2:24" x14ac:dyDescent="0.3">
      <c r="C18" s="20" t="str">
        <f>C$10</f>
        <v>Replacing old circulation pumps for space heat water transport</v>
      </c>
      <c r="D18" s="15" t="s">
        <v>191</v>
      </c>
      <c r="E18" s="42">
        <f>IF('eDevices_general+behavior'!E33&gt;100,$E10%*'eDevices_general+behavior'!E33,)</f>
        <v>95.293719826804832</v>
      </c>
      <c r="F18" s="42">
        <f>IF('eDevices_general+behavior'!F33&gt;100,$E10%*'eDevices_general+behavior'!F33,)</f>
        <v>0</v>
      </c>
      <c r="G18" s="42">
        <f>IF('eDevices_general+behavior'!G33&gt;100,$E10%*'eDevices_general+behavior'!G33,)</f>
        <v>0</v>
      </c>
      <c r="H18" s="42">
        <f>IF('eDevices_general+behavior'!H33&gt;100,$E10%*'eDevices_general+behavior'!H33,)</f>
        <v>0</v>
      </c>
      <c r="J18" s="45">
        <f>AVERAGE(E18:H18)</f>
        <v>23.823429956701208</v>
      </c>
      <c r="K18" s="45">
        <f>AVERAGE($E18:$H18)</f>
        <v>23.823429956701208</v>
      </c>
    </row>
    <row r="19" spans="2:24" x14ac:dyDescent="0.3">
      <c r="C19" s="20" t="str">
        <f>C$11</f>
        <v>Replacing inefficient electricity devices - refrigerator</v>
      </c>
      <c r="D19" s="15" t="s">
        <v>191</v>
      </c>
      <c r="E19" s="55">
        <f>'eDevices_general+behavior'!E14*$E11%</f>
        <v>241.49999999999997</v>
      </c>
      <c r="F19" s="55">
        <f>'eDevices_general+behavior'!F14*$E11%</f>
        <v>241.49999999999997</v>
      </c>
      <c r="G19" s="55">
        <f>'eDevices_general+behavior'!G14*$E11%</f>
        <v>181.125</v>
      </c>
      <c r="H19" s="55">
        <f>'eDevices_general+behavior'!H14*$E11%</f>
        <v>181.125</v>
      </c>
      <c r="J19" s="45">
        <f t="shared" ref="J19:J22" si="1">AVERAGE(E19:H19)</f>
        <v>211.3125</v>
      </c>
      <c r="K19" s="45" t="e">
        <f t="shared" si="0"/>
        <v>#DIV/0!</v>
      </c>
    </row>
    <row r="20" spans="2:24" x14ac:dyDescent="0.3">
      <c r="C20" s="20" t="str">
        <f>C$12</f>
        <v>Replacing inefficient electricity devices - freezer</v>
      </c>
      <c r="D20" s="15" t="s">
        <v>191</v>
      </c>
      <c r="E20" s="55">
        <f>'eDevices_general+behavior'!E15*$E12%</f>
        <v>140</v>
      </c>
      <c r="F20" s="55">
        <f>'eDevices_general+behavior'!F15*$E12%</f>
        <v>140</v>
      </c>
      <c r="G20" s="55">
        <f>'eDevices_general+behavior'!G15*$E12%</f>
        <v>105</v>
      </c>
      <c r="H20" s="55">
        <f>'eDevices_general+behavior'!H15*$E12%</f>
        <v>105</v>
      </c>
      <c r="J20" s="45">
        <f t="shared" si="1"/>
        <v>122.5</v>
      </c>
      <c r="K20" s="45" t="e">
        <f t="shared" si="0"/>
        <v>#DIV/0!</v>
      </c>
    </row>
    <row r="21" spans="2:24" x14ac:dyDescent="0.3">
      <c r="C21" s="20" t="str">
        <f>C$13</f>
        <v>Replacing inefficient electricity devices - washing machine</v>
      </c>
      <c r="D21" s="15" t="s">
        <v>191</v>
      </c>
      <c r="E21" s="55">
        <f>'eDevices_general+behavior'!E16*$E13%</f>
        <v>72.540000000000006</v>
      </c>
      <c r="F21" s="55">
        <f>'eDevices_general+behavior'!F16*$E13%</f>
        <v>72.540000000000006</v>
      </c>
      <c r="G21" s="55">
        <f>'eDevices_general+behavior'!G16*$E13%</f>
        <v>54.405000000000001</v>
      </c>
      <c r="H21" s="55">
        <f>'eDevices_general+behavior'!H16*$E13%</f>
        <v>54.405000000000001</v>
      </c>
      <c r="J21" s="45">
        <f t="shared" si="1"/>
        <v>63.472500000000004</v>
      </c>
      <c r="K21" s="45" t="e">
        <f t="shared" si="0"/>
        <v>#DIV/0!</v>
      </c>
    </row>
    <row r="22" spans="2:24" x14ac:dyDescent="0.3">
      <c r="C22" s="20" t="str">
        <f>C$14</f>
        <v>Replacing inefficient electricity devices - dish washer</v>
      </c>
      <c r="D22" s="15" t="s">
        <v>191</v>
      </c>
      <c r="E22" s="55">
        <f>'eDevices_general+behavior'!E11*$E14%</f>
        <v>82.5</v>
      </c>
      <c r="F22" s="55">
        <f>'eDevices_general+behavior'!F11*$E14%</f>
        <v>82.5</v>
      </c>
      <c r="G22" s="55">
        <f>'eDevices_general+behavior'!G11*$E14%</f>
        <v>61.875000000000007</v>
      </c>
      <c r="H22" s="55">
        <f>'eDevices_general+behavior'!H11*$E14%</f>
        <v>61.875000000000007</v>
      </c>
      <c r="J22" s="45">
        <f t="shared" si="1"/>
        <v>72.1875</v>
      </c>
      <c r="K22" s="45" t="e">
        <f t="shared" si="0"/>
        <v>#DIV/0!</v>
      </c>
    </row>
    <row r="23" spans="2:24" x14ac:dyDescent="0.3">
      <c r="C23" s="84"/>
      <c r="D23" s="84"/>
    </row>
    <row r="24" spans="2:24" ht="20.25" x14ac:dyDescent="0.35">
      <c r="C24" s="81" t="s">
        <v>578</v>
      </c>
    </row>
    <row r="25" spans="2:24" s="18" customFormat="1" ht="17.25" thickBot="1" x14ac:dyDescent="0.35">
      <c r="B25" s="19" t="s">
        <v>153</v>
      </c>
      <c r="C25" s="19" t="s">
        <v>154</v>
      </c>
      <c r="D25" s="19" t="s">
        <v>32</v>
      </c>
      <c r="E25" s="19" t="s">
        <v>155</v>
      </c>
      <c r="F25" s="19"/>
      <c r="G25" s="19" t="s">
        <v>155</v>
      </c>
      <c r="H25" s="19"/>
      <c r="I25" s="19"/>
      <c r="J25" s="56" t="s">
        <v>156</v>
      </c>
      <c r="K25" s="56"/>
    </row>
    <row r="26" spans="2:24" s="30" customFormat="1" ht="18" thickTop="1" thickBot="1" x14ac:dyDescent="0.35">
      <c r="B26" s="28"/>
      <c r="C26" s="29" t="s">
        <v>157</v>
      </c>
      <c r="D26" s="29"/>
      <c r="E26" s="335" t="s">
        <v>5</v>
      </c>
      <c r="F26" s="335"/>
      <c r="G26" s="335" t="s">
        <v>6</v>
      </c>
      <c r="H26" s="335"/>
      <c r="I26" s="28"/>
      <c r="J26" s="28"/>
      <c r="K26" s="57"/>
      <c r="M26" s="20"/>
      <c r="V26" s="18"/>
      <c r="W26" s="18"/>
      <c r="X26" s="18"/>
    </row>
    <row r="27" spans="2:24" ht="18" thickTop="1" thickBot="1" x14ac:dyDescent="0.35">
      <c r="B27" s="19"/>
      <c r="C27" s="29" t="s">
        <v>158</v>
      </c>
      <c r="D27" s="29"/>
      <c r="E27" s="29" t="s">
        <v>7</v>
      </c>
      <c r="F27" s="29" t="s">
        <v>8</v>
      </c>
      <c r="G27" s="29" t="s">
        <v>7</v>
      </c>
      <c r="H27" s="29" t="s">
        <v>8</v>
      </c>
      <c r="I27" s="19"/>
      <c r="J27" s="19" t="s">
        <v>482</v>
      </c>
      <c r="K27" s="56" t="s">
        <v>483</v>
      </c>
      <c r="M27" s="82"/>
      <c r="N27" s="82"/>
      <c r="V27" s="18"/>
      <c r="W27" s="18"/>
      <c r="X27" s="18"/>
    </row>
    <row r="28" spans="2:24" ht="17.25" thickTop="1" x14ac:dyDescent="0.3">
      <c r="C28" s="49" t="s">
        <v>114</v>
      </c>
      <c r="D28" s="84"/>
      <c r="E28" s="91"/>
      <c r="F28" s="91"/>
      <c r="G28" s="91"/>
      <c r="H28" s="91"/>
      <c r="V28" s="18"/>
      <c r="W28" s="18"/>
      <c r="X28" s="18"/>
    </row>
    <row r="29" spans="2:24" customFormat="1" x14ac:dyDescent="0.3">
      <c r="C29" s="15" t="s">
        <v>866</v>
      </c>
      <c r="D29" s="15" t="s">
        <v>485</v>
      </c>
      <c r="E29" s="38">
        <v>2</v>
      </c>
      <c r="F29" s="97">
        <f>E29</f>
        <v>2</v>
      </c>
      <c r="G29" s="38">
        <v>2</v>
      </c>
      <c r="H29" s="97">
        <f t="shared" ref="H29" si="2">G29</f>
        <v>2</v>
      </c>
      <c r="I29" s="17"/>
      <c r="J29" s="83" t="s">
        <v>586</v>
      </c>
      <c r="K29" s="15" t="s">
        <v>485</v>
      </c>
      <c r="M29" s="26"/>
      <c r="O29" s="17"/>
      <c r="T29" s="17"/>
      <c r="U29" s="17"/>
      <c r="V29" s="18"/>
      <c r="W29" s="18"/>
      <c r="X29" s="18"/>
    </row>
    <row r="30" spans="2:24" customFormat="1" x14ac:dyDescent="0.3">
      <c r="C30" s="15" t="s">
        <v>867</v>
      </c>
      <c r="D30" s="15" t="s">
        <v>493</v>
      </c>
      <c r="E30" s="25">
        <v>75</v>
      </c>
      <c r="F30" s="42">
        <f>E30</f>
        <v>75</v>
      </c>
      <c r="G30" s="25">
        <v>90</v>
      </c>
      <c r="H30" s="42">
        <f t="shared" ref="H30:H32" si="3">G30</f>
        <v>90</v>
      </c>
      <c r="I30" s="17"/>
      <c r="J30" s="83" t="s">
        <v>868</v>
      </c>
      <c r="K30" s="15" t="s">
        <v>493</v>
      </c>
      <c r="L30" s="26" t="s">
        <v>869</v>
      </c>
      <c r="M30" s="17"/>
      <c r="N30" s="17"/>
      <c r="O30" s="17"/>
      <c r="R30" s="17"/>
      <c r="S30" s="17"/>
      <c r="T30" s="17"/>
      <c r="U30" s="17"/>
      <c r="V30" s="18"/>
      <c r="W30" s="18"/>
      <c r="X30" s="18"/>
    </row>
    <row r="31" spans="2:24" customFormat="1" x14ac:dyDescent="0.3">
      <c r="C31" s="105" t="s">
        <v>870</v>
      </c>
      <c r="D31" s="15" t="s">
        <v>69</v>
      </c>
      <c r="E31" s="42">
        <f>E29*E30</f>
        <v>150</v>
      </c>
      <c r="F31" s="42">
        <f t="shared" ref="F31:H31" si="4">F29*F30</f>
        <v>150</v>
      </c>
      <c r="G31" s="42">
        <f t="shared" si="4"/>
        <v>180</v>
      </c>
      <c r="H31" s="42">
        <f t="shared" si="4"/>
        <v>180</v>
      </c>
      <c r="I31" s="17"/>
      <c r="K31" s="15"/>
      <c r="O31" s="17"/>
      <c r="R31" s="17"/>
      <c r="S31" s="17"/>
      <c r="T31" s="17"/>
      <c r="U31" s="17"/>
      <c r="V31" s="18"/>
      <c r="W31" s="18"/>
      <c r="X31" s="18"/>
    </row>
    <row r="32" spans="2:24" customFormat="1" x14ac:dyDescent="0.3">
      <c r="C32" s="15" t="s">
        <v>871</v>
      </c>
      <c r="D32" s="15" t="s">
        <v>744</v>
      </c>
      <c r="E32" s="25">
        <v>120</v>
      </c>
      <c r="F32" s="42">
        <f>E32</f>
        <v>120</v>
      </c>
      <c r="G32" s="25">
        <v>150</v>
      </c>
      <c r="H32" s="42">
        <f t="shared" si="3"/>
        <v>150</v>
      </c>
      <c r="I32" s="17"/>
      <c r="J32" s="83" t="s">
        <v>872</v>
      </c>
      <c r="K32" s="83" t="s">
        <v>873</v>
      </c>
      <c r="L32" s="15" t="s">
        <v>874</v>
      </c>
      <c r="M32" s="26" t="s">
        <v>875</v>
      </c>
      <c r="O32" s="17"/>
      <c r="R32" s="17"/>
      <c r="S32" s="17"/>
      <c r="T32" s="17"/>
      <c r="U32" s="17"/>
      <c r="V32" s="18"/>
      <c r="W32" s="18"/>
      <c r="X32" s="18"/>
    </row>
    <row r="33" spans="3:24" s="135" customFormat="1" x14ac:dyDescent="0.3">
      <c r="C33" s="133" t="s">
        <v>503</v>
      </c>
      <c r="D33" s="133" t="s">
        <v>69</v>
      </c>
      <c r="E33" s="134">
        <f>E31+E32</f>
        <v>270</v>
      </c>
      <c r="F33" s="134">
        <f t="shared" ref="F33:H33" si="5">F31+F32</f>
        <v>270</v>
      </c>
      <c r="G33" s="134">
        <f t="shared" si="5"/>
        <v>330</v>
      </c>
      <c r="H33" s="134">
        <f t="shared" si="5"/>
        <v>330</v>
      </c>
      <c r="V33" s="18"/>
      <c r="W33" s="18"/>
      <c r="X33" s="18"/>
    </row>
    <row r="34" spans="3:24" x14ac:dyDescent="0.3">
      <c r="C34" s="133" t="s">
        <v>504</v>
      </c>
      <c r="D34" s="84" t="s">
        <v>505</v>
      </c>
      <c r="E34" s="25">
        <v>0</v>
      </c>
      <c r="F34" s="91">
        <f>E34</f>
        <v>0</v>
      </c>
      <c r="G34" s="25">
        <v>0</v>
      </c>
      <c r="H34" s="91">
        <f t="shared" ref="H34" si="6">G34</f>
        <v>0</v>
      </c>
      <c r="J34" s="83">
        <v>0</v>
      </c>
      <c r="K34" s="84" t="s">
        <v>505</v>
      </c>
      <c r="M34" s="26"/>
      <c r="V34" s="18"/>
      <c r="W34" s="18"/>
      <c r="X34" s="18"/>
    </row>
    <row r="35" spans="3:24" x14ac:dyDescent="0.3">
      <c r="C35" s="84" t="s">
        <v>508</v>
      </c>
      <c r="D35" s="84" t="s">
        <v>301</v>
      </c>
      <c r="E35" s="94">
        <f>'Model homes'!E$171</f>
        <v>0.02</v>
      </c>
      <c r="F35" s="91"/>
      <c r="G35" s="91"/>
      <c r="H35" s="91"/>
      <c r="V35" s="18"/>
      <c r="W35" s="18"/>
      <c r="X35" s="18"/>
    </row>
    <row r="36" spans="3:24" x14ac:dyDescent="0.3">
      <c r="C36" s="84" t="s">
        <v>509</v>
      </c>
      <c r="D36" s="84" t="s">
        <v>301</v>
      </c>
      <c r="E36" s="63">
        <f>IF($E35=E$38,1,(1-(((1+$E35)/(1+E$38))^E39))/(E38-$E35))</f>
        <v>12.63435432014553</v>
      </c>
      <c r="F36" s="63">
        <f>IF($E35=F$38,1,(1-(((1+$E35)/(1+F$38))^F39))/(F38-$E35))</f>
        <v>12.63435432014553</v>
      </c>
      <c r="G36" s="63">
        <f>IF($E35=G$38,1,(1-(((1+$E35)/(1+G$38))^G39))/(G38-$E35))</f>
        <v>12.63435432014553</v>
      </c>
      <c r="H36" s="63">
        <f>IF($E35=H$38,1,(1-(((1+$E35)/(1+H$38))^H39))/(H38-$E35))</f>
        <v>12.63435432014553</v>
      </c>
      <c r="V36" s="18"/>
      <c r="W36" s="18"/>
      <c r="X36" s="18"/>
    </row>
    <row r="37" spans="3:24" x14ac:dyDescent="0.3">
      <c r="C37" s="84" t="s">
        <v>510</v>
      </c>
      <c r="D37" s="84" t="s">
        <v>505</v>
      </c>
      <c r="E37" s="63">
        <f>-PMT(E38,E39,E34*E36)</f>
        <v>0</v>
      </c>
      <c r="F37" s="63">
        <f>-PMT(F38,F39,F34*F36)</f>
        <v>0</v>
      </c>
      <c r="G37" s="63">
        <f>-PMT(G38,G39,G34*G36)</f>
        <v>0</v>
      </c>
      <c r="H37" s="63">
        <f>-PMT(H38,H39,H34*H36)</f>
        <v>0</v>
      </c>
      <c r="V37" s="18"/>
      <c r="W37" s="18"/>
      <c r="X37" s="18"/>
    </row>
    <row r="38" spans="3:24" x14ac:dyDescent="0.3">
      <c r="C38" s="84" t="s">
        <v>302</v>
      </c>
      <c r="D38" s="84" t="s">
        <v>301</v>
      </c>
      <c r="E38" s="94">
        <f>'Model homes'!$E169</f>
        <v>0.04</v>
      </c>
      <c r="F38" s="94">
        <f>'Model homes'!$E169</f>
        <v>0.04</v>
      </c>
      <c r="G38" s="94">
        <f>'Model homes'!$E169</f>
        <v>0.04</v>
      </c>
      <c r="H38" s="94">
        <f>'Model homes'!$E169</f>
        <v>0.04</v>
      </c>
      <c r="V38" s="18"/>
      <c r="W38" s="18"/>
      <c r="X38" s="18"/>
    </row>
    <row r="39" spans="3:24" x14ac:dyDescent="0.3">
      <c r="C39" s="133" t="s">
        <v>511</v>
      </c>
      <c r="D39" s="84" t="s">
        <v>512</v>
      </c>
      <c r="E39" s="25">
        <v>15</v>
      </c>
      <c r="F39" s="91">
        <f>E39</f>
        <v>15</v>
      </c>
      <c r="G39" s="91">
        <f t="shared" ref="G39:H39" si="7">F39</f>
        <v>15</v>
      </c>
      <c r="H39" s="91">
        <f t="shared" si="7"/>
        <v>15</v>
      </c>
      <c r="J39" s="83" t="s">
        <v>845</v>
      </c>
      <c r="K39" s="83" t="s">
        <v>845</v>
      </c>
      <c r="L39" s="15"/>
      <c r="V39" s="18"/>
      <c r="W39" s="18"/>
      <c r="X39" s="18"/>
    </row>
    <row r="40" spans="3:24" ht="17.25" thickBot="1" x14ac:dyDescent="0.35">
      <c r="C40" s="84"/>
      <c r="D40" s="84"/>
      <c r="E40" s="91"/>
      <c r="F40" s="91"/>
      <c r="G40" s="91"/>
      <c r="H40" s="91"/>
      <c r="V40" s="18"/>
      <c r="W40" s="18"/>
      <c r="X40" s="18"/>
    </row>
    <row r="41" spans="3:24" ht="33.75" thickTop="1" x14ac:dyDescent="0.3">
      <c r="C41" s="27" t="s">
        <v>115</v>
      </c>
      <c r="D41" s="84"/>
      <c r="E41" s="91"/>
      <c r="F41" s="91"/>
      <c r="G41" s="91"/>
      <c r="H41" s="91"/>
      <c r="V41" s="18"/>
      <c r="W41" s="18"/>
      <c r="X41" s="18"/>
    </row>
    <row r="42" spans="3:24" x14ac:dyDescent="0.3">
      <c r="C42" s="15" t="s">
        <v>866</v>
      </c>
      <c r="D42" s="15" t="s">
        <v>485</v>
      </c>
      <c r="E42" s="38">
        <v>3</v>
      </c>
      <c r="F42" s="97">
        <f>E42</f>
        <v>3</v>
      </c>
      <c r="G42" s="38">
        <v>3</v>
      </c>
      <c r="H42" s="97">
        <f t="shared" ref="H42" si="8">G42</f>
        <v>3</v>
      </c>
      <c r="J42" s="83" t="s">
        <v>586</v>
      </c>
      <c r="K42" s="15" t="s">
        <v>485</v>
      </c>
      <c r="L42"/>
      <c r="M42" s="26"/>
      <c r="V42" s="18"/>
      <c r="W42" s="18"/>
      <c r="X42" s="18"/>
    </row>
    <row r="43" spans="3:24" x14ac:dyDescent="0.3">
      <c r="C43" s="15" t="s">
        <v>867</v>
      </c>
      <c r="D43" s="15" t="s">
        <v>493</v>
      </c>
      <c r="E43" s="25">
        <v>75</v>
      </c>
      <c r="F43" s="42">
        <f>E43</f>
        <v>75</v>
      </c>
      <c r="G43" s="25">
        <v>90</v>
      </c>
      <c r="H43" s="42">
        <f t="shared" ref="H43" si="9">G43</f>
        <v>90</v>
      </c>
      <c r="J43" s="83" t="s">
        <v>868</v>
      </c>
      <c r="K43" s="15" t="s">
        <v>493</v>
      </c>
      <c r="L43" s="26" t="s">
        <v>869</v>
      </c>
      <c r="M43" s="26"/>
      <c r="V43" s="18"/>
      <c r="W43" s="18"/>
      <c r="X43" s="18"/>
    </row>
    <row r="44" spans="3:24" x14ac:dyDescent="0.3">
      <c r="C44" s="105" t="s">
        <v>870</v>
      </c>
      <c r="D44" s="15" t="s">
        <v>69</v>
      </c>
      <c r="E44" s="42">
        <f>E42*E43</f>
        <v>225</v>
      </c>
      <c r="F44" s="42">
        <f t="shared" ref="F44:H44" si="10">F42*F43</f>
        <v>225</v>
      </c>
      <c r="G44" s="42">
        <f t="shared" si="10"/>
        <v>270</v>
      </c>
      <c r="H44" s="42">
        <f t="shared" si="10"/>
        <v>270</v>
      </c>
      <c r="J44"/>
      <c r="K44" s="15"/>
      <c r="L44"/>
      <c r="M44"/>
      <c r="V44" s="18"/>
      <c r="W44" s="18"/>
      <c r="X44" s="18"/>
    </row>
    <row r="45" spans="3:24" x14ac:dyDescent="0.3">
      <c r="C45" s="15" t="s">
        <v>871</v>
      </c>
      <c r="D45" s="15" t="s">
        <v>744</v>
      </c>
      <c r="E45" s="25">
        <v>150</v>
      </c>
      <c r="F45" s="42">
        <f>E45</f>
        <v>150</v>
      </c>
      <c r="G45" s="25">
        <v>175</v>
      </c>
      <c r="H45" s="42">
        <f t="shared" ref="H45" si="11">G45</f>
        <v>175</v>
      </c>
      <c r="J45" s="83" t="s">
        <v>873</v>
      </c>
      <c r="K45" s="83" t="s">
        <v>873</v>
      </c>
      <c r="L45" s="15" t="s">
        <v>874</v>
      </c>
      <c r="M45"/>
      <c r="V45" s="18"/>
      <c r="W45" s="18"/>
      <c r="X45" s="18"/>
    </row>
    <row r="46" spans="3:24" x14ac:dyDescent="0.3">
      <c r="C46" s="133" t="s">
        <v>503</v>
      </c>
      <c r="D46" s="133" t="s">
        <v>69</v>
      </c>
      <c r="E46" s="134">
        <f>E44+E45</f>
        <v>375</v>
      </c>
      <c r="F46" s="134">
        <f t="shared" ref="F46" si="12">F44+F45</f>
        <v>375</v>
      </c>
      <c r="G46" s="134">
        <f t="shared" ref="G46" si="13">G44+G45</f>
        <v>445</v>
      </c>
      <c r="H46" s="134">
        <f t="shared" ref="H46" si="14">H44+H45</f>
        <v>445</v>
      </c>
      <c r="I46" s="135"/>
      <c r="J46" s="135"/>
      <c r="K46" s="135"/>
      <c r="L46" s="135"/>
      <c r="M46"/>
      <c r="V46" s="18"/>
      <c r="W46" s="18"/>
      <c r="X46" s="18"/>
    </row>
    <row r="47" spans="3:24" x14ac:dyDescent="0.3">
      <c r="C47" s="133" t="s">
        <v>504</v>
      </c>
      <c r="D47" s="84" t="s">
        <v>505</v>
      </c>
      <c r="E47" s="25">
        <v>0</v>
      </c>
      <c r="F47" s="91">
        <f>E47</f>
        <v>0</v>
      </c>
      <c r="G47" s="25">
        <v>0</v>
      </c>
      <c r="H47" s="91">
        <f t="shared" ref="H47" si="15">G47</f>
        <v>0</v>
      </c>
      <c r="J47" s="83">
        <v>0</v>
      </c>
      <c r="K47" s="84" t="s">
        <v>505</v>
      </c>
      <c r="M47"/>
      <c r="V47" s="42"/>
      <c r="W47" s="99"/>
      <c r="X47" s="99"/>
    </row>
    <row r="48" spans="3:24" s="135" customFormat="1" x14ac:dyDescent="0.3">
      <c r="C48" s="84" t="s">
        <v>508</v>
      </c>
      <c r="D48" s="84" t="s">
        <v>301</v>
      </c>
      <c r="E48" s="94">
        <f>'Model homes'!E$171</f>
        <v>0.02</v>
      </c>
      <c r="F48" s="91"/>
      <c r="G48" s="91"/>
      <c r="H48" s="91"/>
      <c r="I48" s="17"/>
      <c r="J48" s="17"/>
      <c r="K48" s="17"/>
      <c r="L48" s="17"/>
      <c r="V48" s="45"/>
      <c r="W48" s="136"/>
      <c r="X48" s="136"/>
    </row>
    <row r="49" spans="3:24" x14ac:dyDescent="0.3">
      <c r="C49" s="84" t="s">
        <v>509</v>
      </c>
      <c r="D49" s="84" t="s">
        <v>301</v>
      </c>
      <c r="E49" s="63">
        <f>IF($E48=E$38,1,(1-(((1+$E48)/(1+E$38))^E52))/(E51-$E48))</f>
        <v>12.63435432014553</v>
      </c>
      <c r="F49" s="63">
        <f>IF($E48=F$38,1,(1-(((1+$E48)/(1+F$38))^F52))/(F51-$E48))</f>
        <v>12.63435432014553</v>
      </c>
      <c r="G49" s="63">
        <f>IF($E48=G$38,1,(1-(((1+$E48)/(1+G$38))^G52))/(G51-$E48))</f>
        <v>12.63435432014553</v>
      </c>
      <c r="H49" s="63">
        <f>IF($E48=H$38,1,(1-(((1+$E48)/(1+H$38))^H52))/(H51-$E48))</f>
        <v>12.63435432014553</v>
      </c>
      <c r="M49" s="26"/>
      <c r="V49" s="42"/>
      <c r="W49" s="99"/>
      <c r="X49" s="99"/>
    </row>
    <row r="50" spans="3:24" x14ac:dyDescent="0.3">
      <c r="C50" s="84" t="s">
        <v>510</v>
      </c>
      <c r="D50" s="84" t="s">
        <v>505</v>
      </c>
      <c r="E50" s="63">
        <f>-PMT(E51,E52,E47*E49)</f>
        <v>0</v>
      </c>
      <c r="F50" s="63">
        <f>-PMT(F51,F52,F47*F49)</f>
        <v>0</v>
      </c>
      <c r="G50" s="63">
        <f>-PMT(G51,G52,G47*G49)</f>
        <v>0</v>
      </c>
      <c r="H50" s="63">
        <f>-PMT(H51,H52,H47*H49)</f>
        <v>0</v>
      </c>
      <c r="V50" s="42"/>
      <c r="W50" s="99"/>
      <c r="X50" s="99"/>
    </row>
    <row r="51" spans="3:24" x14ac:dyDescent="0.3">
      <c r="C51" s="84" t="s">
        <v>302</v>
      </c>
      <c r="D51" s="84" t="s">
        <v>301</v>
      </c>
      <c r="E51" s="94">
        <f>'Model homes'!$E169</f>
        <v>0.04</v>
      </c>
      <c r="F51" s="94">
        <f>'Model homes'!$E169</f>
        <v>0.04</v>
      </c>
      <c r="G51" s="94">
        <f>'Model homes'!$E169</f>
        <v>0.04</v>
      </c>
      <c r="H51" s="94">
        <f>'Model homes'!$E169</f>
        <v>0.04</v>
      </c>
      <c r="V51" s="42"/>
      <c r="W51" s="99"/>
      <c r="X51" s="99"/>
    </row>
    <row r="52" spans="3:24" x14ac:dyDescent="0.3">
      <c r="C52" s="133" t="s">
        <v>511</v>
      </c>
      <c r="D52" s="84" t="s">
        <v>512</v>
      </c>
      <c r="E52" s="25">
        <v>15</v>
      </c>
      <c r="F52" s="91">
        <f>E52</f>
        <v>15</v>
      </c>
      <c r="G52" s="91">
        <f t="shared" ref="G52" si="16">F52</f>
        <v>15</v>
      </c>
      <c r="H52" s="91">
        <f t="shared" ref="H52" si="17">G52</f>
        <v>15</v>
      </c>
      <c r="J52" s="83" t="s">
        <v>845</v>
      </c>
      <c r="K52" s="83" t="s">
        <v>845</v>
      </c>
      <c r="L52" s="15"/>
      <c r="V52" s="42"/>
      <c r="W52" s="99"/>
      <c r="X52" s="99"/>
    </row>
    <row r="53" spans="3:24" ht="17.25" thickBot="1" x14ac:dyDescent="0.35">
      <c r="C53" s="84"/>
      <c r="D53" s="84"/>
      <c r="E53" s="91"/>
      <c r="F53" s="91"/>
      <c r="G53" s="91"/>
      <c r="H53" s="91"/>
      <c r="V53" s="18"/>
      <c r="W53" s="18"/>
      <c r="X53" s="18"/>
    </row>
    <row r="54" spans="3:24" ht="17.25" thickTop="1" x14ac:dyDescent="0.3">
      <c r="C54" s="27" t="str">
        <f>C11</f>
        <v>Replacing inefficient electricity devices - refrigerator</v>
      </c>
      <c r="D54" s="84"/>
      <c r="E54" s="91"/>
      <c r="F54" s="91"/>
      <c r="G54" s="91"/>
      <c r="H54" s="91"/>
      <c r="V54" s="18"/>
      <c r="W54" s="18"/>
      <c r="X54" s="18"/>
    </row>
    <row r="55" spans="3:24" x14ac:dyDescent="0.3">
      <c r="C55" s="15" t="s">
        <v>484</v>
      </c>
      <c r="D55" s="15" t="s">
        <v>485</v>
      </c>
      <c r="E55" s="38">
        <v>3</v>
      </c>
      <c r="F55" s="97">
        <f>E55</f>
        <v>3</v>
      </c>
      <c r="G55" s="38">
        <v>3</v>
      </c>
      <c r="H55" s="97">
        <f t="shared" ref="H55:H56" si="18">G55</f>
        <v>3</v>
      </c>
      <c r="I55"/>
      <c r="J55" s="83" t="s">
        <v>212</v>
      </c>
      <c r="K55" s="15" t="s">
        <v>485</v>
      </c>
      <c r="L55"/>
      <c r="M55"/>
      <c r="V55" s="18"/>
      <c r="W55" s="18"/>
      <c r="X55" s="18"/>
    </row>
    <row r="56" spans="3:24" x14ac:dyDescent="0.3">
      <c r="C56" s="15" t="s">
        <v>492</v>
      </c>
      <c r="D56" s="15" t="s">
        <v>493</v>
      </c>
      <c r="E56" s="25">
        <v>15</v>
      </c>
      <c r="F56" s="42">
        <f>E56</f>
        <v>15</v>
      </c>
      <c r="G56" s="42">
        <f t="shared" ref="G56" si="19">F56</f>
        <v>15</v>
      </c>
      <c r="H56" s="42">
        <f t="shared" si="18"/>
        <v>15</v>
      </c>
      <c r="J56" s="83" t="s">
        <v>494</v>
      </c>
      <c r="K56" s="15" t="s">
        <v>493</v>
      </c>
      <c r="L56" s="26" t="s">
        <v>495</v>
      </c>
      <c r="V56" s="18"/>
      <c r="W56" s="18"/>
      <c r="X56" s="18"/>
    </row>
    <row r="57" spans="3:24" x14ac:dyDescent="0.3">
      <c r="C57" s="105" t="s">
        <v>496</v>
      </c>
      <c r="D57" s="15" t="s">
        <v>69</v>
      </c>
      <c r="E57" s="42">
        <f>E55*E56</f>
        <v>45</v>
      </c>
      <c r="F57" s="42">
        <f t="shared" ref="F57:H57" si="20">F55*F56</f>
        <v>45</v>
      </c>
      <c r="G57" s="42">
        <f t="shared" si="20"/>
        <v>45</v>
      </c>
      <c r="H57" s="42">
        <f t="shared" si="20"/>
        <v>45</v>
      </c>
      <c r="J57"/>
      <c r="K57"/>
      <c r="L57"/>
      <c r="M57"/>
      <c r="V57" s="18"/>
      <c r="W57" s="18"/>
      <c r="X57" s="18"/>
    </row>
    <row r="58" spans="3:24" x14ac:dyDescent="0.3">
      <c r="C58" s="15" t="s">
        <v>876</v>
      </c>
      <c r="D58" s="15" t="s">
        <v>69</v>
      </c>
      <c r="E58" s="25"/>
      <c r="F58" s="42">
        <f>E58</f>
        <v>0</v>
      </c>
      <c r="G58" s="25"/>
      <c r="H58" s="42">
        <f t="shared" ref="H58" si="21">G58</f>
        <v>0</v>
      </c>
      <c r="J58" s="83" t="s">
        <v>877</v>
      </c>
      <c r="K58" s="15" t="s">
        <v>878</v>
      </c>
      <c r="L58"/>
      <c r="M58" s="26"/>
      <c r="V58" s="18"/>
      <c r="W58" s="18"/>
      <c r="X58" s="18"/>
    </row>
    <row r="59" spans="3:24" x14ac:dyDescent="0.3">
      <c r="C59" s="15" t="s">
        <v>879</v>
      </c>
      <c r="D59" s="15" t="s">
        <v>69</v>
      </c>
      <c r="E59" s="25">
        <v>800</v>
      </c>
      <c r="F59" s="42">
        <f>E59</f>
        <v>800</v>
      </c>
      <c r="G59" s="25">
        <v>800</v>
      </c>
      <c r="H59" s="42">
        <f t="shared" ref="H59:H60" si="22">G59</f>
        <v>800</v>
      </c>
      <c r="J59" s="83" t="s">
        <v>880</v>
      </c>
      <c r="K59" s="83" t="s">
        <v>880</v>
      </c>
      <c r="L59" s="15"/>
      <c r="M59"/>
      <c r="V59" s="18"/>
      <c r="W59" s="18"/>
      <c r="X59" s="18"/>
    </row>
    <row r="60" spans="3:24" x14ac:dyDescent="0.3">
      <c r="C60" s="15" t="s">
        <v>881</v>
      </c>
      <c r="D60" s="15" t="s">
        <v>69</v>
      </c>
      <c r="E60" s="25">
        <v>400</v>
      </c>
      <c r="F60" s="42">
        <f>E60</f>
        <v>400</v>
      </c>
      <c r="G60" s="25">
        <v>350</v>
      </c>
      <c r="H60" s="42">
        <f t="shared" si="22"/>
        <v>350</v>
      </c>
      <c r="J60" s="103">
        <v>350</v>
      </c>
      <c r="K60" s="46"/>
      <c r="L60"/>
      <c r="M60" s="26"/>
      <c r="V60" s="18"/>
      <c r="W60" s="18"/>
      <c r="X60" s="18"/>
    </row>
    <row r="61" spans="3:24" x14ac:dyDescent="0.3">
      <c r="C61" s="133" t="s">
        <v>882</v>
      </c>
      <c r="D61" s="133" t="s">
        <v>69</v>
      </c>
      <c r="E61" s="134">
        <f>SUM(E57:E59)-E60</f>
        <v>445</v>
      </c>
      <c r="F61" s="134">
        <f t="shared" ref="F61:H61" si="23">SUM(F57:F59)-F60</f>
        <v>445</v>
      </c>
      <c r="G61" s="134">
        <f t="shared" si="23"/>
        <v>495</v>
      </c>
      <c r="H61" s="134">
        <f t="shared" si="23"/>
        <v>495</v>
      </c>
      <c r="I61" s="134"/>
      <c r="J61" s="135"/>
      <c r="K61" s="135"/>
      <c r="L61" s="135"/>
      <c r="M61"/>
      <c r="V61" s="18"/>
      <c r="W61" s="18"/>
      <c r="X61" s="18"/>
    </row>
    <row r="62" spans="3:24" x14ac:dyDescent="0.3">
      <c r="C62" s="133" t="s">
        <v>504</v>
      </c>
      <c r="D62" s="84" t="s">
        <v>505</v>
      </c>
      <c r="E62" s="25">
        <v>0</v>
      </c>
      <c r="F62" s="91">
        <f>E62</f>
        <v>0</v>
      </c>
      <c r="G62" s="25">
        <v>0</v>
      </c>
      <c r="H62" s="91">
        <f t="shared" ref="H62" si="24">G62</f>
        <v>0</v>
      </c>
      <c r="J62" s="83">
        <v>0</v>
      </c>
      <c r="K62" s="84" t="s">
        <v>505</v>
      </c>
      <c r="M62"/>
      <c r="V62" s="42"/>
      <c r="W62" s="99"/>
      <c r="X62" s="99"/>
    </row>
    <row r="63" spans="3:24" s="135" customFormat="1" x14ac:dyDescent="0.3">
      <c r="C63" s="84" t="s">
        <v>508</v>
      </c>
      <c r="D63" s="84" t="s">
        <v>301</v>
      </c>
      <c r="E63" s="94">
        <f>'Model homes'!E$171</f>
        <v>0.02</v>
      </c>
      <c r="F63" s="91"/>
      <c r="G63" s="91"/>
      <c r="H63" s="91"/>
      <c r="I63" s="17"/>
      <c r="J63" s="17"/>
      <c r="K63" s="17"/>
      <c r="L63" s="17"/>
      <c r="V63" s="45"/>
      <c r="W63" s="136"/>
      <c r="X63" s="136"/>
    </row>
    <row r="64" spans="3:24" x14ac:dyDescent="0.3">
      <c r="C64" s="84" t="s">
        <v>509</v>
      </c>
      <c r="D64" s="84" t="s">
        <v>301</v>
      </c>
      <c r="E64" s="63">
        <f>IF($E63=E$38,1,(1-(((1+$E63)/(1+E$38))^E67))/(E66-$E63))</f>
        <v>10.392995848105347</v>
      </c>
      <c r="F64" s="63">
        <f>IF($E63=F$38,1,(1-(((1+$E63)/(1+F$38))^F67))/(F66-$E63))</f>
        <v>10.392995848105347</v>
      </c>
      <c r="G64" s="63">
        <f>IF($E63=G$38,1,(1-(((1+$E63)/(1+G$38))^G67))/(G66-$E63))</f>
        <v>10.392995848105347</v>
      </c>
      <c r="H64" s="63">
        <f>IF($E63=H$38,1,(1-(((1+$E63)/(1+H$38))^H67))/(H66-$E63))</f>
        <v>10.392995848105347</v>
      </c>
      <c r="M64" s="26"/>
      <c r="V64" s="42"/>
      <c r="W64" s="99"/>
      <c r="X64" s="99"/>
    </row>
    <row r="65" spans="3:24" x14ac:dyDescent="0.3">
      <c r="C65" s="84" t="s">
        <v>510</v>
      </c>
      <c r="D65" s="84" t="s">
        <v>505</v>
      </c>
      <c r="E65" s="63">
        <f>-PMT(E66,E67,E62*E64)</f>
        <v>0</v>
      </c>
      <c r="F65" s="63">
        <f>-PMT(F66,F67,F62*F64)</f>
        <v>0</v>
      </c>
      <c r="G65" s="63">
        <f>-PMT(G66,G67,G62*G64)</f>
        <v>0</v>
      </c>
      <c r="H65" s="63">
        <f>-PMT(H66,H67,H62*H64)</f>
        <v>0</v>
      </c>
      <c r="V65" s="42"/>
      <c r="W65" s="99"/>
      <c r="X65" s="99"/>
    </row>
    <row r="66" spans="3:24" x14ac:dyDescent="0.3">
      <c r="C66" s="84" t="s">
        <v>302</v>
      </c>
      <c r="D66" s="84" t="s">
        <v>301</v>
      </c>
      <c r="E66" s="94">
        <f>'Model homes'!$E169</f>
        <v>0.04</v>
      </c>
      <c r="F66" s="94">
        <f>'Model homes'!$E169</f>
        <v>0.04</v>
      </c>
      <c r="G66" s="94">
        <f>'Model homes'!$E169</f>
        <v>0.04</v>
      </c>
      <c r="H66" s="94">
        <f>'Model homes'!$E169</f>
        <v>0.04</v>
      </c>
      <c r="V66" s="42"/>
      <c r="W66" s="99"/>
      <c r="X66" s="99"/>
    </row>
    <row r="67" spans="3:24" x14ac:dyDescent="0.3">
      <c r="C67" s="133" t="s">
        <v>511</v>
      </c>
      <c r="D67" s="84" t="s">
        <v>512</v>
      </c>
      <c r="E67" s="25">
        <v>12</v>
      </c>
      <c r="F67" s="91">
        <f>E67</f>
        <v>12</v>
      </c>
      <c r="G67" s="91">
        <f t="shared" ref="G67" si="25">F67</f>
        <v>12</v>
      </c>
      <c r="H67" s="91">
        <f t="shared" ref="H67" si="26">G67</f>
        <v>12</v>
      </c>
      <c r="J67" s="83" t="s">
        <v>883</v>
      </c>
      <c r="K67" s="83" t="s">
        <v>883</v>
      </c>
      <c r="L67" s="15"/>
      <c r="V67" s="42"/>
      <c r="W67" s="99"/>
      <c r="X67" s="99"/>
    </row>
    <row r="68" spans="3:24" ht="17.25" thickBot="1" x14ac:dyDescent="0.35">
      <c r="C68" s="96"/>
      <c r="D68" s="84"/>
      <c r="E68" s="91"/>
      <c r="F68" s="91"/>
      <c r="G68" s="91"/>
      <c r="H68" s="91"/>
      <c r="V68" s="42"/>
      <c r="W68" s="99"/>
      <c r="X68" s="99"/>
    </row>
    <row r="69" spans="3:24" ht="17.25" thickTop="1" x14ac:dyDescent="0.3">
      <c r="C69" s="27" t="str">
        <f>C12</f>
        <v>Replacing inefficient electricity devices - freezer</v>
      </c>
      <c r="D69" s="84"/>
      <c r="E69" s="91"/>
      <c r="F69" s="91"/>
      <c r="G69" s="91"/>
      <c r="H69" s="91"/>
      <c r="V69" s="18"/>
      <c r="W69" s="18"/>
      <c r="X69" s="18"/>
    </row>
    <row r="70" spans="3:24" x14ac:dyDescent="0.3">
      <c r="C70" s="15" t="s">
        <v>484</v>
      </c>
      <c r="D70" s="15" t="s">
        <v>485</v>
      </c>
      <c r="E70" s="38">
        <v>2</v>
      </c>
      <c r="F70" s="97">
        <f>E70</f>
        <v>2</v>
      </c>
      <c r="G70" s="38">
        <v>2</v>
      </c>
      <c r="H70" s="97">
        <f t="shared" ref="H70:H71" si="27">G70</f>
        <v>2</v>
      </c>
      <c r="I70"/>
      <c r="J70" s="83" t="s">
        <v>212</v>
      </c>
      <c r="K70" s="15" t="s">
        <v>485</v>
      </c>
      <c r="L70"/>
      <c r="M70"/>
      <c r="V70" s="18"/>
      <c r="W70" s="18"/>
      <c r="X70" s="18"/>
    </row>
    <row r="71" spans="3:24" x14ac:dyDescent="0.3">
      <c r="C71" s="15" t="s">
        <v>492</v>
      </c>
      <c r="D71" s="15" t="s">
        <v>493</v>
      </c>
      <c r="E71" s="25">
        <v>15</v>
      </c>
      <c r="F71" s="42">
        <f>E71</f>
        <v>15</v>
      </c>
      <c r="G71" s="42">
        <f t="shared" ref="G71" si="28">F71</f>
        <v>15</v>
      </c>
      <c r="H71" s="42">
        <f t="shared" si="27"/>
        <v>15</v>
      </c>
      <c r="J71" s="83" t="s">
        <v>494</v>
      </c>
      <c r="K71" s="15" t="s">
        <v>493</v>
      </c>
      <c r="L71" s="26" t="s">
        <v>495</v>
      </c>
      <c r="M71" s="26"/>
      <c r="V71" s="18"/>
      <c r="W71" s="18"/>
      <c r="X71" s="18"/>
    </row>
    <row r="72" spans="3:24" x14ac:dyDescent="0.3">
      <c r="C72" s="105" t="s">
        <v>496</v>
      </c>
      <c r="D72" s="15" t="s">
        <v>69</v>
      </c>
      <c r="E72" s="42">
        <f>E70*E71</f>
        <v>30</v>
      </c>
      <c r="F72" s="42">
        <f t="shared" ref="F72:H72" si="29">F70*F71</f>
        <v>30</v>
      </c>
      <c r="G72" s="42">
        <f t="shared" si="29"/>
        <v>30</v>
      </c>
      <c r="H72" s="42">
        <f t="shared" si="29"/>
        <v>30</v>
      </c>
      <c r="J72"/>
      <c r="K72"/>
      <c r="L72"/>
      <c r="M72"/>
      <c r="V72" s="18"/>
      <c r="W72" s="18"/>
      <c r="X72" s="18"/>
    </row>
    <row r="73" spans="3:24" x14ac:dyDescent="0.3">
      <c r="C73" s="15" t="s">
        <v>876</v>
      </c>
      <c r="D73" s="15" t="s">
        <v>69</v>
      </c>
      <c r="E73" s="25"/>
      <c r="F73" s="42">
        <f>E73</f>
        <v>0</v>
      </c>
      <c r="G73" s="25"/>
      <c r="H73" s="42">
        <f t="shared" ref="H73:H74" si="30">G73</f>
        <v>0</v>
      </c>
      <c r="J73" s="83" t="s">
        <v>884</v>
      </c>
      <c r="K73" s="15" t="s">
        <v>878</v>
      </c>
      <c r="L73"/>
      <c r="M73" s="26"/>
      <c r="V73" s="18"/>
      <c r="W73" s="18"/>
      <c r="X73" s="18"/>
    </row>
    <row r="74" spans="3:24" x14ac:dyDescent="0.3">
      <c r="C74" s="15" t="s">
        <v>879</v>
      </c>
      <c r="D74" s="15" t="s">
        <v>69</v>
      </c>
      <c r="E74" s="25">
        <v>500</v>
      </c>
      <c r="F74" s="42">
        <f>E74</f>
        <v>500</v>
      </c>
      <c r="G74" s="25">
        <v>400</v>
      </c>
      <c r="H74" s="42">
        <f t="shared" si="30"/>
        <v>400</v>
      </c>
      <c r="J74" s="83" t="s">
        <v>885</v>
      </c>
      <c r="K74" s="83" t="s">
        <v>886</v>
      </c>
      <c r="L74" s="15"/>
      <c r="M74" s="26"/>
      <c r="V74" s="18"/>
      <c r="W74" s="18"/>
      <c r="X74" s="18"/>
    </row>
    <row r="75" spans="3:24" x14ac:dyDescent="0.3">
      <c r="C75" s="15" t="s">
        <v>881</v>
      </c>
      <c r="D75" s="15" t="s">
        <v>69</v>
      </c>
      <c r="E75" s="25">
        <v>350</v>
      </c>
      <c r="F75" s="42">
        <f>E75</f>
        <v>350</v>
      </c>
      <c r="G75" s="25">
        <v>200</v>
      </c>
      <c r="H75" s="42">
        <f t="shared" ref="H75" si="31">G75</f>
        <v>200</v>
      </c>
      <c r="J75" s="83">
        <v>350</v>
      </c>
      <c r="K75" s="83">
        <v>170</v>
      </c>
      <c r="L75" s="46"/>
      <c r="M75" s="26"/>
      <c r="V75" s="18"/>
      <c r="W75" s="18"/>
      <c r="X75" s="18"/>
    </row>
    <row r="76" spans="3:24" x14ac:dyDescent="0.3">
      <c r="C76" s="133" t="s">
        <v>882</v>
      </c>
      <c r="D76" s="133" t="s">
        <v>69</v>
      </c>
      <c r="E76" s="134">
        <f>SUM(E72:E74)-E75</f>
        <v>180</v>
      </c>
      <c r="F76" s="134">
        <f t="shared" ref="F76" si="32">SUM(F72:F74)-F75</f>
        <v>180</v>
      </c>
      <c r="G76" s="134">
        <f t="shared" ref="G76" si="33">SUM(G72:G74)-G75</f>
        <v>230</v>
      </c>
      <c r="H76" s="134">
        <f t="shared" ref="H76" si="34">SUM(H72:H74)-H75</f>
        <v>230</v>
      </c>
      <c r="I76" s="134"/>
      <c r="J76" s="135"/>
      <c r="K76" s="135"/>
      <c r="L76" s="135"/>
      <c r="M76"/>
      <c r="V76" s="18"/>
      <c r="W76" s="18"/>
      <c r="X76" s="18"/>
    </row>
    <row r="77" spans="3:24" x14ac:dyDescent="0.3">
      <c r="C77" s="133" t="s">
        <v>504</v>
      </c>
      <c r="D77" s="84" t="s">
        <v>505</v>
      </c>
      <c r="E77" s="25">
        <v>0</v>
      </c>
      <c r="F77" s="91">
        <f>E77</f>
        <v>0</v>
      </c>
      <c r="G77" s="25">
        <v>0</v>
      </c>
      <c r="H77" s="91">
        <f t="shared" ref="H77" si="35">G77</f>
        <v>0</v>
      </c>
      <c r="J77" s="83">
        <v>0</v>
      </c>
      <c r="K77" s="84" t="s">
        <v>505</v>
      </c>
      <c r="M77"/>
      <c r="V77" s="18"/>
      <c r="W77" s="18"/>
      <c r="X77" s="18"/>
    </row>
    <row r="78" spans="3:24" x14ac:dyDescent="0.3">
      <c r="C78" s="84" t="s">
        <v>508</v>
      </c>
      <c r="D78" s="84" t="s">
        <v>301</v>
      </c>
      <c r="E78" s="94">
        <f>'Model homes'!E$171</f>
        <v>0.02</v>
      </c>
      <c r="F78" s="91"/>
      <c r="G78" s="91"/>
      <c r="H78" s="91"/>
      <c r="M78"/>
      <c r="V78" s="18"/>
      <c r="W78" s="18"/>
      <c r="X78" s="18"/>
    </row>
    <row r="79" spans="3:24" x14ac:dyDescent="0.3">
      <c r="C79" s="84" t="s">
        <v>509</v>
      </c>
      <c r="D79" s="84" t="s">
        <v>301</v>
      </c>
      <c r="E79" s="63">
        <f>IF($E78=E$38,1,(1-(((1+$E78)/(1+E$38))^E82))/(E81-$E78))</f>
        <v>12.63435432014553</v>
      </c>
      <c r="F79" s="63">
        <f>IF($E78=F$38,1,(1-(((1+$E78)/(1+F$38))^F82))/(F81-$E78))</f>
        <v>12.63435432014553</v>
      </c>
      <c r="G79" s="63">
        <f>IF($E78=G$38,1,(1-(((1+$E78)/(1+G$38))^G82))/(G81-$E78))</f>
        <v>12.63435432014553</v>
      </c>
      <c r="H79" s="63">
        <f>IF($E78=H$38,1,(1-(((1+$E78)/(1+H$38))^H82))/(H81-$E78))</f>
        <v>12.63435432014553</v>
      </c>
      <c r="M79"/>
      <c r="V79" s="18"/>
      <c r="W79" s="18"/>
      <c r="X79" s="18"/>
    </row>
    <row r="80" spans="3:24" x14ac:dyDescent="0.3">
      <c r="C80" s="84" t="s">
        <v>510</v>
      </c>
      <c r="D80" s="84" t="s">
        <v>505</v>
      </c>
      <c r="E80" s="63">
        <f>-PMT(E81,E82,E77*E79)</f>
        <v>0</v>
      </c>
      <c r="F80" s="63">
        <f>-PMT(F81,F82,F77*F79)</f>
        <v>0</v>
      </c>
      <c r="G80" s="63">
        <f>-PMT(G81,G82,G77*G79)</f>
        <v>0</v>
      </c>
      <c r="H80" s="63">
        <f>-PMT(H81,H82,H77*H79)</f>
        <v>0</v>
      </c>
      <c r="M80" s="135"/>
      <c r="V80" s="42"/>
      <c r="W80" s="99"/>
      <c r="X80" s="99"/>
    </row>
    <row r="81" spans="3:24" s="135" customFormat="1" x14ac:dyDescent="0.3">
      <c r="C81" s="84" t="s">
        <v>302</v>
      </c>
      <c r="D81" s="84" t="s">
        <v>301</v>
      </c>
      <c r="E81" s="94">
        <f>'Model homes'!$E169</f>
        <v>0.04</v>
      </c>
      <c r="F81" s="94">
        <f>'Model homes'!$E169</f>
        <v>0.04</v>
      </c>
      <c r="G81" s="94">
        <f>'Model homes'!$E169</f>
        <v>0.04</v>
      </c>
      <c r="H81" s="94">
        <f>'Model homes'!$E169</f>
        <v>0.04</v>
      </c>
      <c r="I81" s="17"/>
      <c r="J81" s="17"/>
      <c r="K81" s="17"/>
      <c r="L81" s="17"/>
      <c r="M81" s="26"/>
      <c r="V81" s="45"/>
      <c r="W81" s="136"/>
      <c r="X81" s="136"/>
    </row>
    <row r="82" spans="3:24" x14ac:dyDescent="0.3">
      <c r="C82" s="133" t="s">
        <v>511</v>
      </c>
      <c r="D82" s="84" t="s">
        <v>512</v>
      </c>
      <c r="E82" s="25">
        <v>15</v>
      </c>
      <c r="F82" s="91">
        <f>E82</f>
        <v>15</v>
      </c>
      <c r="G82" s="91">
        <f t="shared" ref="G82" si="36">F82</f>
        <v>15</v>
      </c>
      <c r="H82" s="91">
        <f t="shared" ref="H82" si="37">G82</f>
        <v>15</v>
      </c>
      <c r="J82" s="83" t="s">
        <v>887</v>
      </c>
      <c r="K82" s="83" t="s">
        <v>887</v>
      </c>
      <c r="L82" s="15"/>
      <c r="V82" s="42"/>
      <c r="W82" s="99"/>
      <c r="X82" s="99"/>
    </row>
    <row r="83" spans="3:24" ht="17.25" thickBot="1" x14ac:dyDescent="0.35">
      <c r="C83" s="96"/>
      <c r="D83" s="84"/>
      <c r="E83" s="91"/>
      <c r="F83" s="91"/>
      <c r="G83" s="91"/>
      <c r="H83" s="91"/>
      <c r="V83" s="42"/>
      <c r="W83" s="99"/>
      <c r="X83" s="99"/>
    </row>
    <row r="84" spans="3:24" ht="33.75" thickTop="1" x14ac:dyDescent="0.3">
      <c r="C84" s="27" t="str">
        <f>C13</f>
        <v>Replacing inefficient electricity devices - washing machine</v>
      </c>
      <c r="D84" s="84"/>
      <c r="E84" s="91"/>
      <c r="F84" s="91"/>
      <c r="G84" s="91"/>
      <c r="H84" s="91"/>
      <c r="V84" s="18"/>
      <c r="W84" s="18"/>
      <c r="X84" s="18"/>
    </row>
    <row r="85" spans="3:24" x14ac:dyDescent="0.3">
      <c r="C85" s="15" t="s">
        <v>484</v>
      </c>
      <c r="D85" s="15" t="s">
        <v>485</v>
      </c>
      <c r="E85" s="38">
        <v>1</v>
      </c>
      <c r="F85" s="97">
        <f>E85</f>
        <v>1</v>
      </c>
      <c r="G85" s="38">
        <v>1</v>
      </c>
      <c r="H85" s="97">
        <f t="shared" ref="H85:H86" si="38">G85</f>
        <v>1</v>
      </c>
      <c r="I85"/>
      <c r="J85" s="83" t="s">
        <v>888</v>
      </c>
      <c r="K85" s="15" t="s">
        <v>485</v>
      </c>
      <c r="L85"/>
      <c r="M85"/>
      <c r="V85" s="18"/>
      <c r="W85" s="18"/>
      <c r="X85" s="18"/>
    </row>
    <row r="86" spans="3:24" x14ac:dyDescent="0.3">
      <c r="C86" s="15" t="s">
        <v>492</v>
      </c>
      <c r="D86" s="15" t="s">
        <v>493</v>
      </c>
      <c r="E86" s="25">
        <v>15</v>
      </c>
      <c r="F86" s="42">
        <f>E86</f>
        <v>15</v>
      </c>
      <c r="G86" s="42">
        <f t="shared" ref="G86" si="39">F86</f>
        <v>15</v>
      </c>
      <c r="H86" s="42">
        <f t="shared" si="38"/>
        <v>15</v>
      </c>
      <c r="J86" s="83" t="s">
        <v>494</v>
      </c>
      <c r="K86" s="15" t="s">
        <v>493</v>
      </c>
      <c r="L86" s="26" t="s">
        <v>495</v>
      </c>
      <c r="M86" s="26"/>
      <c r="V86" s="18"/>
      <c r="W86" s="18"/>
      <c r="X86" s="18"/>
    </row>
    <row r="87" spans="3:24" x14ac:dyDescent="0.3">
      <c r="C87" s="105" t="s">
        <v>496</v>
      </c>
      <c r="D87" s="15" t="s">
        <v>69</v>
      </c>
      <c r="E87" s="42">
        <f>E85*E86</f>
        <v>15</v>
      </c>
      <c r="F87" s="42">
        <f t="shared" ref="F87:H87" si="40">F85*F86</f>
        <v>15</v>
      </c>
      <c r="G87" s="42">
        <f t="shared" si="40"/>
        <v>15</v>
      </c>
      <c r="H87" s="42">
        <f t="shared" si="40"/>
        <v>15</v>
      </c>
      <c r="J87"/>
      <c r="K87"/>
      <c r="L87"/>
      <c r="M87"/>
      <c r="V87" s="18"/>
      <c r="W87" s="18"/>
      <c r="X87" s="18"/>
    </row>
    <row r="88" spans="3:24" x14ac:dyDescent="0.3">
      <c r="C88" s="15" t="s">
        <v>876</v>
      </c>
      <c r="D88" s="15" t="s">
        <v>69</v>
      </c>
      <c r="E88" s="25"/>
      <c r="F88" s="42">
        <f>E88</f>
        <v>0</v>
      </c>
      <c r="G88" s="25"/>
      <c r="H88" s="42">
        <f t="shared" ref="H88:H90" si="41">G88</f>
        <v>0</v>
      </c>
      <c r="J88" s="83" t="s">
        <v>889</v>
      </c>
      <c r="K88" s="15" t="s">
        <v>878</v>
      </c>
      <c r="L88"/>
      <c r="M88" s="26"/>
      <c r="V88" s="18"/>
      <c r="W88" s="18"/>
      <c r="X88" s="18"/>
    </row>
    <row r="89" spans="3:24" x14ac:dyDescent="0.3">
      <c r="C89" s="15" t="s">
        <v>879</v>
      </c>
      <c r="D89" s="15" t="s">
        <v>69</v>
      </c>
      <c r="E89" s="25">
        <v>550</v>
      </c>
      <c r="F89" s="42">
        <f>E89</f>
        <v>550</v>
      </c>
      <c r="G89" s="25">
        <v>550</v>
      </c>
      <c r="H89" s="42">
        <f t="shared" si="41"/>
        <v>550</v>
      </c>
      <c r="J89" s="83" t="s">
        <v>890</v>
      </c>
      <c r="K89" s="26"/>
      <c r="L89" s="26"/>
      <c r="M89" s="26"/>
      <c r="V89" s="18"/>
      <c r="W89" s="18"/>
      <c r="X89" s="18"/>
    </row>
    <row r="90" spans="3:24" x14ac:dyDescent="0.3">
      <c r="C90" s="15" t="s">
        <v>881</v>
      </c>
      <c r="D90" s="15" t="s">
        <v>69</v>
      </c>
      <c r="E90" s="25">
        <v>400</v>
      </c>
      <c r="F90" s="42">
        <f>E90</f>
        <v>400</v>
      </c>
      <c r="G90" s="25">
        <v>400</v>
      </c>
      <c r="H90" s="42">
        <f t="shared" si="41"/>
        <v>400</v>
      </c>
      <c r="J90" s="83" t="s">
        <v>891</v>
      </c>
      <c r="K90" s="46"/>
      <c r="L90" s="46"/>
      <c r="M90" s="26"/>
      <c r="V90" s="18"/>
      <c r="W90" s="18"/>
      <c r="X90" s="18"/>
    </row>
    <row r="91" spans="3:24" x14ac:dyDescent="0.3">
      <c r="C91" s="133" t="s">
        <v>882</v>
      </c>
      <c r="D91" s="133" t="s">
        <v>69</v>
      </c>
      <c r="E91" s="134">
        <f>SUM(E87:E89)-E90</f>
        <v>165</v>
      </c>
      <c r="F91" s="134">
        <f t="shared" ref="F91" si="42">SUM(F87:F89)-F90</f>
        <v>165</v>
      </c>
      <c r="G91" s="134">
        <f t="shared" ref="G91" si="43">SUM(G87:G89)-G90</f>
        <v>165</v>
      </c>
      <c r="H91" s="134">
        <f t="shared" ref="H91" si="44">SUM(H87:H89)-H90</f>
        <v>165</v>
      </c>
      <c r="I91" s="134"/>
      <c r="J91" s="135"/>
      <c r="K91" s="135"/>
      <c r="L91" s="135"/>
      <c r="M91"/>
      <c r="V91" s="18"/>
      <c r="W91" s="18"/>
      <c r="X91" s="18"/>
    </row>
    <row r="92" spans="3:24" x14ac:dyDescent="0.3">
      <c r="C92" s="133" t="s">
        <v>504</v>
      </c>
      <c r="D92" s="84" t="s">
        <v>505</v>
      </c>
      <c r="E92" s="25">
        <v>0</v>
      </c>
      <c r="F92" s="91">
        <f>E92</f>
        <v>0</v>
      </c>
      <c r="G92" s="25">
        <v>0</v>
      </c>
      <c r="H92" s="91">
        <f t="shared" ref="H92" si="45">G92</f>
        <v>0</v>
      </c>
      <c r="J92" s="83">
        <v>0</v>
      </c>
      <c r="K92" s="84" t="s">
        <v>505</v>
      </c>
      <c r="M92"/>
      <c r="V92" s="18"/>
      <c r="W92" s="18"/>
      <c r="X92" s="18"/>
    </row>
    <row r="93" spans="3:24" x14ac:dyDescent="0.3">
      <c r="C93" s="84" t="s">
        <v>508</v>
      </c>
      <c r="D93" s="84" t="s">
        <v>301</v>
      </c>
      <c r="E93" s="94">
        <f>'Model homes'!E$171</f>
        <v>0.02</v>
      </c>
      <c r="F93" s="91"/>
      <c r="G93" s="91"/>
      <c r="H93" s="91"/>
      <c r="M93"/>
      <c r="V93" s="18"/>
      <c r="W93" s="18"/>
      <c r="X93" s="18"/>
    </row>
    <row r="94" spans="3:24" x14ac:dyDescent="0.3">
      <c r="C94" s="84" t="s">
        <v>509</v>
      </c>
      <c r="D94" s="84" t="s">
        <v>301</v>
      </c>
      <c r="E94" s="63">
        <f>IF($E93=E$38,1,(1-(((1+$E93)/(1+E$38))^E97))/(E96-$E93))</f>
        <v>10.392995848105347</v>
      </c>
      <c r="F94" s="63">
        <f>IF($E93=F$38,1,(1-(((1+$E93)/(1+F$38))^F97))/(F96-$E93))</f>
        <v>10.392995848105347</v>
      </c>
      <c r="G94" s="63">
        <f>IF($E93=G$38,1,(1-(((1+$E93)/(1+G$38))^G97))/(G96-$E93))</f>
        <v>10.392995848105347</v>
      </c>
      <c r="H94" s="63">
        <f>IF($E93=H$38,1,(1-(((1+$E93)/(1+H$38))^H97))/(H96-$E93))</f>
        <v>10.392995848105347</v>
      </c>
      <c r="M94"/>
      <c r="V94" s="18"/>
      <c r="W94" s="18"/>
      <c r="X94" s="18"/>
    </row>
    <row r="95" spans="3:24" x14ac:dyDescent="0.3">
      <c r="C95" s="84" t="s">
        <v>510</v>
      </c>
      <c r="D95" s="84" t="s">
        <v>505</v>
      </c>
      <c r="E95" s="63">
        <f>-PMT(E96,E97,E92*E94)</f>
        <v>0</v>
      </c>
      <c r="F95" s="63">
        <f>-PMT(F96,F97,F92*F94)</f>
        <v>0</v>
      </c>
      <c r="G95" s="63">
        <f>-PMT(G96,G97,G92*G94)</f>
        <v>0</v>
      </c>
      <c r="H95" s="63">
        <f>-PMT(H96,H97,H92*H94)</f>
        <v>0</v>
      </c>
      <c r="M95" s="135"/>
      <c r="V95" s="42"/>
      <c r="W95" s="99"/>
      <c r="X95" s="99"/>
    </row>
    <row r="96" spans="3:24" s="135" customFormat="1" x14ac:dyDescent="0.3">
      <c r="C96" s="84" t="s">
        <v>302</v>
      </c>
      <c r="D96" s="84" t="s">
        <v>301</v>
      </c>
      <c r="E96" s="94">
        <f>'Model homes'!$E169</f>
        <v>0.04</v>
      </c>
      <c r="F96" s="94">
        <f>'Model homes'!$E169</f>
        <v>0.04</v>
      </c>
      <c r="G96" s="94">
        <f>'Model homes'!$E169</f>
        <v>0.04</v>
      </c>
      <c r="H96" s="94">
        <f>'Model homes'!$E169</f>
        <v>0.04</v>
      </c>
      <c r="I96" s="17"/>
      <c r="J96" s="17"/>
      <c r="K96" s="17"/>
      <c r="L96" s="17"/>
      <c r="M96" s="26"/>
      <c r="V96" s="45"/>
      <c r="W96" s="136"/>
      <c r="X96" s="136"/>
    </row>
    <row r="97" spans="3:24" x14ac:dyDescent="0.3">
      <c r="C97" s="133" t="s">
        <v>511</v>
      </c>
      <c r="D97" s="84" t="s">
        <v>512</v>
      </c>
      <c r="E97" s="25">
        <v>12</v>
      </c>
      <c r="F97" s="91">
        <f>E97</f>
        <v>12</v>
      </c>
      <c r="G97" s="91">
        <f t="shared" ref="G97" si="46">F97</f>
        <v>12</v>
      </c>
      <c r="H97" s="91">
        <f t="shared" ref="H97" si="47">G97</f>
        <v>12</v>
      </c>
      <c r="J97" s="83" t="s">
        <v>883</v>
      </c>
      <c r="K97" s="83" t="s">
        <v>883</v>
      </c>
      <c r="L97" s="15"/>
      <c r="V97" s="42"/>
      <c r="W97" s="99"/>
      <c r="X97" s="99"/>
    </row>
    <row r="98" spans="3:24" ht="17.25" thickBot="1" x14ac:dyDescent="0.35">
      <c r="C98" s="96"/>
      <c r="D98" s="84"/>
      <c r="E98" s="91"/>
      <c r="F98" s="91"/>
      <c r="G98" s="91"/>
      <c r="H98" s="91"/>
      <c r="V98" s="42"/>
      <c r="W98" s="99"/>
      <c r="X98" s="99"/>
    </row>
    <row r="99" spans="3:24" ht="17.25" thickTop="1" x14ac:dyDescent="0.3">
      <c r="C99" s="27" t="str">
        <f>C14</f>
        <v>Replacing inefficient electricity devices - dish washer</v>
      </c>
      <c r="D99" s="84"/>
      <c r="E99" s="91"/>
      <c r="F99" s="91"/>
      <c r="G99" s="91"/>
      <c r="H99" s="91"/>
      <c r="V99" s="18"/>
      <c r="W99" s="18"/>
      <c r="X99" s="18"/>
    </row>
    <row r="100" spans="3:24" x14ac:dyDescent="0.3">
      <c r="C100" s="15" t="s">
        <v>484</v>
      </c>
      <c r="D100" s="15" t="s">
        <v>485</v>
      </c>
      <c r="E100" s="38">
        <v>2</v>
      </c>
      <c r="F100" s="97">
        <f>E100</f>
        <v>2</v>
      </c>
      <c r="G100" s="38">
        <v>2</v>
      </c>
      <c r="H100" s="97">
        <f t="shared" ref="H100:H101" si="48">G100</f>
        <v>2</v>
      </c>
      <c r="I100"/>
      <c r="J100" s="83" t="s">
        <v>212</v>
      </c>
      <c r="K100" s="15" t="s">
        <v>485</v>
      </c>
      <c r="L100"/>
      <c r="M100"/>
      <c r="V100" s="18"/>
      <c r="W100" s="18"/>
      <c r="X100" s="18"/>
    </row>
    <row r="101" spans="3:24" x14ac:dyDescent="0.3">
      <c r="C101" s="15" t="s">
        <v>492</v>
      </c>
      <c r="D101" s="15" t="s">
        <v>493</v>
      </c>
      <c r="E101" s="25">
        <v>15</v>
      </c>
      <c r="F101" s="42">
        <f>E101</f>
        <v>15</v>
      </c>
      <c r="G101" s="42">
        <f t="shared" ref="G101" si="49">F101</f>
        <v>15</v>
      </c>
      <c r="H101" s="42">
        <f t="shared" si="48"/>
        <v>15</v>
      </c>
      <c r="J101" s="83" t="s">
        <v>494</v>
      </c>
      <c r="K101" s="15" t="s">
        <v>493</v>
      </c>
      <c r="L101" s="26" t="s">
        <v>495</v>
      </c>
      <c r="M101"/>
      <c r="V101" s="18"/>
      <c r="W101" s="18"/>
      <c r="X101" s="18"/>
    </row>
    <row r="102" spans="3:24" x14ac:dyDescent="0.3">
      <c r="C102" s="105" t="s">
        <v>496</v>
      </c>
      <c r="D102" s="15" t="s">
        <v>69</v>
      </c>
      <c r="E102" s="42">
        <f>E100*E101</f>
        <v>30</v>
      </c>
      <c r="F102" s="42">
        <f t="shared" ref="F102:H102" si="50">F100*F101</f>
        <v>30</v>
      </c>
      <c r="G102" s="42">
        <f t="shared" si="50"/>
        <v>30</v>
      </c>
      <c r="H102" s="42">
        <f t="shared" si="50"/>
        <v>30</v>
      </c>
      <c r="J102"/>
      <c r="K102"/>
      <c r="L102"/>
      <c r="M102"/>
      <c r="V102" s="18"/>
      <c r="W102" s="18"/>
      <c r="X102" s="18"/>
    </row>
    <row r="103" spans="3:24" x14ac:dyDescent="0.3">
      <c r="C103" s="15" t="s">
        <v>876</v>
      </c>
      <c r="D103" s="15" t="s">
        <v>69</v>
      </c>
      <c r="E103" s="25"/>
      <c r="F103" s="42">
        <f>E103</f>
        <v>0</v>
      </c>
      <c r="G103" s="25"/>
      <c r="H103" s="42">
        <f t="shared" ref="H103:H105" si="51">G103</f>
        <v>0</v>
      </c>
      <c r="J103" s="83" t="s">
        <v>892</v>
      </c>
      <c r="K103" s="15" t="s">
        <v>878</v>
      </c>
      <c r="L103"/>
      <c r="M103" s="26"/>
      <c r="V103" s="18"/>
      <c r="W103" s="18"/>
      <c r="X103" s="18"/>
    </row>
    <row r="104" spans="3:24" x14ac:dyDescent="0.3">
      <c r="C104" s="15" t="s">
        <v>879</v>
      </c>
      <c r="D104" s="15" t="s">
        <v>69</v>
      </c>
      <c r="E104" s="25">
        <v>600</v>
      </c>
      <c r="F104" s="42">
        <f>E104</f>
        <v>600</v>
      </c>
      <c r="G104" s="25">
        <v>500</v>
      </c>
      <c r="H104" s="42">
        <f t="shared" si="51"/>
        <v>500</v>
      </c>
      <c r="J104" s="83" t="s">
        <v>893</v>
      </c>
      <c r="K104" s="83" t="s">
        <v>894</v>
      </c>
      <c r="L104" s="15" t="s">
        <v>874</v>
      </c>
      <c r="M104"/>
      <c r="V104" s="18"/>
      <c r="W104" s="18"/>
      <c r="X104" s="18"/>
    </row>
    <row r="105" spans="3:24" x14ac:dyDescent="0.3">
      <c r="C105" s="15" t="s">
        <v>881</v>
      </c>
      <c r="D105" s="15" t="s">
        <v>69</v>
      </c>
      <c r="E105" s="25">
        <v>450</v>
      </c>
      <c r="F105" s="42">
        <f>E105</f>
        <v>450</v>
      </c>
      <c r="G105" s="25">
        <v>400</v>
      </c>
      <c r="H105" s="42">
        <f t="shared" si="51"/>
        <v>400</v>
      </c>
      <c r="J105" s="83" t="s">
        <v>895</v>
      </c>
      <c r="K105" s="46"/>
      <c r="L105" s="46"/>
      <c r="M105" s="26"/>
      <c r="V105" s="18"/>
      <c r="W105" s="18"/>
      <c r="X105" s="18"/>
    </row>
    <row r="106" spans="3:24" x14ac:dyDescent="0.3">
      <c r="C106" s="133" t="s">
        <v>882</v>
      </c>
      <c r="D106" s="133" t="s">
        <v>69</v>
      </c>
      <c r="E106" s="134">
        <f>SUM(E102:E104)-E105</f>
        <v>180</v>
      </c>
      <c r="F106" s="134">
        <f t="shared" ref="F106" si="52">SUM(F102:F104)-F105</f>
        <v>180</v>
      </c>
      <c r="G106" s="134">
        <f t="shared" ref="G106" si="53">SUM(G102:G104)-G105</f>
        <v>130</v>
      </c>
      <c r="H106" s="134">
        <f t="shared" ref="H106" si="54">SUM(H102:H104)-H105</f>
        <v>130</v>
      </c>
      <c r="I106" s="134"/>
      <c r="J106" s="135"/>
      <c r="K106" s="135"/>
      <c r="L106" s="135"/>
      <c r="M106"/>
      <c r="V106" s="18"/>
      <c r="W106" s="18"/>
      <c r="X106" s="18"/>
    </row>
    <row r="107" spans="3:24" x14ac:dyDescent="0.3">
      <c r="C107" s="133" t="s">
        <v>504</v>
      </c>
      <c r="D107" s="84" t="s">
        <v>505</v>
      </c>
      <c r="E107" s="25">
        <v>0</v>
      </c>
      <c r="F107" s="91">
        <f>E107</f>
        <v>0</v>
      </c>
      <c r="G107" s="25">
        <v>0</v>
      </c>
      <c r="H107" s="91">
        <f t="shared" ref="H107" si="55">G107</f>
        <v>0</v>
      </c>
      <c r="J107" s="83">
        <v>0</v>
      </c>
      <c r="K107" s="84" t="s">
        <v>505</v>
      </c>
      <c r="M107"/>
      <c r="V107" s="18"/>
      <c r="W107" s="18"/>
      <c r="X107" s="18"/>
    </row>
    <row r="108" spans="3:24" x14ac:dyDescent="0.3">
      <c r="C108" s="84" t="s">
        <v>508</v>
      </c>
      <c r="D108" s="84" t="s">
        <v>301</v>
      </c>
      <c r="E108" s="94">
        <f>'Model homes'!E$171</f>
        <v>0.02</v>
      </c>
      <c r="F108" s="91"/>
      <c r="G108" s="91"/>
      <c r="H108" s="91"/>
      <c r="M108"/>
      <c r="V108" s="18"/>
      <c r="W108" s="18"/>
      <c r="X108" s="18"/>
    </row>
    <row r="109" spans="3:24" x14ac:dyDescent="0.3">
      <c r="C109" s="84" t="s">
        <v>509</v>
      </c>
      <c r="D109" s="84" t="s">
        <v>301</v>
      </c>
      <c r="E109" s="63">
        <f>IF($E108=E$38,1,(1-(((1+$E108)/(1+E$38))^E112))/(E111-$E108))</f>
        <v>10.392995848105347</v>
      </c>
      <c r="F109" s="63">
        <f>IF($E108=F$38,1,(1-(((1+$E108)/(1+F$38))^F112))/(F111-$E108))</f>
        <v>10.392995848105347</v>
      </c>
      <c r="G109" s="63">
        <f>IF($E108=G$38,1,(1-(((1+$E108)/(1+G$38))^G112))/(G111-$E108))</f>
        <v>10.392995848105347</v>
      </c>
      <c r="H109" s="63">
        <f>IF($E108=H$38,1,(1-(((1+$E108)/(1+H$38))^H112))/(H111-$E108))</f>
        <v>10.392995848105347</v>
      </c>
      <c r="M109"/>
      <c r="V109" s="18"/>
      <c r="W109" s="18"/>
      <c r="X109" s="18"/>
    </row>
    <row r="110" spans="3:24" x14ac:dyDescent="0.3">
      <c r="C110" s="84" t="s">
        <v>510</v>
      </c>
      <c r="D110" s="84" t="s">
        <v>505</v>
      </c>
      <c r="E110" s="63">
        <f>-PMT(E111,E112,E107*E109)</f>
        <v>0</v>
      </c>
      <c r="F110" s="63">
        <f>-PMT(F111,F112,F107*F109)</f>
        <v>0</v>
      </c>
      <c r="G110" s="63">
        <f>-PMT(G111,G112,G107*G109)</f>
        <v>0</v>
      </c>
      <c r="H110" s="63">
        <f>-PMT(H111,H112,H107*H109)</f>
        <v>0</v>
      </c>
      <c r="M110"/>
      <c r="V110" s="42"/>
      <c r="W110" s="99"/>
      <c r="X110" s="99"/>
    </row>
    <row r="111" spans="3:24" s="135" customFormat="1" x14ac:dyDescent="0.3">
      <c r="C111" s="84" t="s">
        <v>302</v>
      </c>
      <c r="D111" s="84" t="s">
        <v>301</v>
      </c>
      <c r="E111" s="94">
        <f>'Model homes'!$E169</f>
        <v>0.04</v>
      </c>
      <c r="F111" s="94">
        <f>'Model homes'!$E169</f>
        <v>0.04</v>
      </c>
      <c r="G111" s="94">
        <f>'Model homes'!$E169</f>
        <v>0.04</v>
      </c>
      <c r="H111" s="94">
        <f>'Model homes'!$E169</f>
        <v>0.04</v>
      </c>
      <c r="I111" s="17"/>
      <c r="J111" s="17"/>
      <c r="K111" s="17"/>
      <c r="L111" s="17"/>
      <c r="V111" s="45"/>
      <c r="W111" s="136"/>
      <c r="X111" s="136"/>
    </row>
    <row r="112" spans="3:24" x14ac:dyDescent="0.3">
      <c r="C112" s="133" t="s">
        <v>511</v>
      </c>
      <c r="D112" s="84" t="s">
        <v>512</v>
      </c>
      <c r="E112" s="25">
        <v>12</v>
      </c>
      <c r="F112" s="91">
        <f>E112</f>
        <v>12</v>
      </c>
      <c r="G112" s="91">
        <f t="shared" ref="G112" si="56">F112</f>
        <v>12</v>
      </c>
      <c r="H112" s="91">
        <f t="shared" ref="H112" si="57">G112</f>
        <v>12</v>
      </c>
      <c r="J112" s="83" t="s">
        <v>883</v>
      </c>
      <c r="K112" s="83" t="s">
        <v>883</v>
      </c>
      <c r="L112" s="15"/>
      <c r="M112" s="26"/>
      <c r="V112" s="42"/>
      <c r="W112" s="99"/>
      <c r="X112" s="99"/>
    </row>
    <row r="113" spans="3:24" x14ac:dyDescent="0.3">
      <c r="C113" s="137"/>
      <c r="D113" s="137"/>
      <c r="E113" s="137"/>
      <c r="F113" s="137"/>
      <c r="G113" s="137"/>
      <c r="H113" s="137"/>
      <c r="I113" s="137"/>
      <c r="J113" s="137"/>
      <c r="K113" s="137"/>
      <c r="L113" s="137"/>
      <c r="M113" s="137"/>
      <c r="N113" s="137"/>
      <c r="V113" s="55"/>
      <c r="W113" s="138"/>
      <c r="X113" s="138"/>
    </row>
    <row r="114" spans="3:24" x14ac:dyDescent="0.3">
      <c r="C114" s="51" t="s">
        <v>515</v>
      </c>
      <c r="D114" s="84"/>
      <c r="E114" s="91"/>
      <c r="F114" s="91"/>
      <c r="G114" s="91"/>
      <c r="H114" s="91"/>
      <c r="J114" s="17" t="s">
        <v>478</v>
      </c>
      <c r="K114" s="17" t="s">
        <v>479</v>
      </c>
    </row>
    <row r="115" spans="3:24" x14ac:dyDescent="0.3">
      <c r="C115" s="20" t="str">
        <f>C$9</f>
        <v>Replacing old circulation pumps for domestic hot water transport</v>
      </c>
      <c r="D115" s="15" t="s">
        <v>299</v>
      </c>
      <c r="E115" s="42" t="e">
        <f>'Model homes'!E$141/100*E17</f>
        <v>#VALUE!</v>
      </c>
      <c r="F115" s="42" t="e">
        <f>'Model homes'!F$141/100*F17</f>
        <v>#VALUE!</v>
      </c>
      <c r="G115" s="42" t="e">
        <f>'Model homes'!G$141/100*G17</f>
        <v>#VALUE!</v>
      </c>
      <c r="H115" s="42" t="e">
        <f>'Model homes'!H$141/100*H17</f>
        <v>#VALUE!</v>
      </c>
      <c r="J115" s="45" t="e">
        <f>AVERAGE(E115:H115)</f>
        <v>#VALUE!</v>
      </c>
      <c r="K115" s="45" t="e">
        <f t="shared" ref="K115:K120" si="58">AVERAGEIFS($E115:$H115,$J135:$M135,"yes")</f>
        <v>#DIV/0!</v>
      </c>
    </row>
    <row r="116" spans="3:24" x14ac:dyDescent="0.3">
      <c r="C116" s="20" t="str">
        <f>C$10</f>
        <v>Replacing old circulation pumps for space heat water transport</v>
      </c>
      <c r="D116" s="15" t="s">
        <v>299</v>
      </c>
      <c r="E116" s="42" t="e">
        <f>'Model homes'!E$141/100*E18</f>
        <v>#VALUE!</v>
      </c>
      <c r="F116" s="42" t="e">
        <f>'Model homes'!F$141/100*F18</f>
        <v>#VALUE!</v>
      </c>
      <c r="G116" s="42" t="e">
        <f>'Model homes'!G$141/100*G18</f>
        <v>#VALUE!</v>
      </c>
      <c r="H116" s="42" t="e">
        <f>'Model homes'!H$141/100*H18</f>
        <v>#VALUE!</v>
      </c>
      <c r="J116" s="45" t="e">
        <f t="shared" ref="J116:J120" si="59">AVERAGE(E116:H116)</f>
        <v>#VALUE!</v>
      </c>
      <c r="K116" s="45" t="e">
        <f>AVERAGE($E116:$H116)</f>
        <v>#VALUE!</v>
      </c>
    </row>
    <row r="117" spans="3:24" x14ac:dyDescent="0.3">
      <c r="C117" s="20" t="str">
        <f>C$11</f>
        <v>Replacing inefficient electricity devices - refrigerator</v>
      </c>
      <c r="D117" s="15" t="s">
        <v>299</v>
      </c>
      <c r="E117" s="42" t="e">
        <f>'Model homes'!E$141/100*E19</f>
        <v>#VALUE!</v>
      </c>
      <c r="F117" s="42" t="e">
        <f>'Model homes'!F$141/100*F19</f>
        <v>#VALUE!</v>
      </c>
      <c r="G117" s="42" t="e">
        <f>'Model homes'!G$141/100*G19</f>
        <v>#VALUE!</v>
      </c>
      <c r="H117" s="42" t="e">
        <f>'Model homes'!H$141/100*H19</f>
        <v>#VALUE!</v>
      </c>
      <c r="J117" s="45" t="e">
        <f t="shared" si="59"/>
        <v>#VALUE!</v>
      </c>
      <c r="K117" s="45" t="e">
        <f t="shared" si="58"/>
        <v>#DIV/0!</v>
      </c>
    </row>
    <row r="118" spans="3:24" x14ac:dyDescent="0.3">
      <c r="C118" s="20" t="str">
        <f>C$12</f>
        <v>Replacing inefficient electricity devices - freezer</v>
      </c>
      <c r="D118" s="15" t="s">
        <v>299</v>
      </c>
      <c r="E118" s="42" t="e">
        <f>'Model homes'!E$141/100*E20</f>
        <v>#VALUE!</v>
      </c>
      <c r="F118" s="42" t="e">
        <f>'Model homes'!F$141/100*F20</f>
        <v>#VALUE!</v>
      </c>
      <c r="G118" s="42" t="e">
        <f>'Model homes'!G$141/100*G20</f>
        <v>#VALUE!</v>
      </c>
      <c r="H118" s="42" t="e">
        <f>'Model homes'!H$141/100*H20</f>
        <v>#VALUE!</v>
      </c>
      <c r="J118" s="45" t="e">
        <f t="shared" si="59"/>
        <v>#VALUE!</v>
      </c>
      <c r="K118" s="45" t="e">
        <f t="shared" si="58"/>
        <v>#DIV/0!</v>
      </c>
    </row>
    <row r="119" spans="3:24" x14ac:dyDescent="0.3">
      <c r="C119" s="20" t="str">
        <f>C$13</f>
        <v>Replacing inefficient electricity devices - washing machine</v>
      </c>
      <c r="D119" s="15" t="s">
        <v>299</v>
      </c>
      <c r="E119" s="42" t="e">
        <f>'Model homes'!E$141/100*E21</f>
        <v>#VALUE!</v>
      </c>
      <c r="F119" s="42" t="e">
        <f>'Model homes'!F$141/100*F21</f>
        <v>#VALUE!</v>
      </c>
      <c r="G119" s="42" t="e">
        <f>'Model homes'!G$141/100*G21</f>
        <v>#VALUE!</v>
      </c>
      <c r="H119" s="42" t="e">
        <f>'Model homes'!H$141/100*H21</f>
        <v>#VALUE!</v>
      </c>
      <c r="J119" s="45" t="e">
        <f t="shared" si="59"/>
        <v>#VALUE!</v>
      </c>
      <c r="K119" s="45" t="e">
        <f t="shared" si="58"/>
        <v>#DIV/0!</v>
      </c>
    </row>
    <row r="120" spans="3:24" x14ac:dyDescent="0.3">
      <c r="C120" s="20" t="str">
        <f>C$14</f>
        <v>Replacing inefficient electricity devices - dish washer</v>
      </c>
      <c r="D120" s="15" t="s">
        <v>299</v>
      </c>
      <c r="E120" s="42" t="e">
        <f>'Model homes'!E$141/100*E22</f>
        <v>#VALUE!</v>
      </c>
      <c r="F120" s="42" t="e">
        <f>'Model homes'!F$141/100*F22</f>
        <v>#VALUE!</v>
      </c>
      <c r="G120" s="42" t="e">
        <f>'Model homes'!G$141/100*G22</f>
        <v>#VALUE!</v>
      </c>
      <c r="H120" s="42" t="e">
        <f>'Model homes'!H$141/100*H22</f>
        <v>#VALUE!</v>
      </c>
      <c r="J120" s="45" t="e">
        <f t="shared" si="59"/>
        <v>#VALUE!</v>
      </c>
      <c r="K120" s="45" t="e">
        <f t="shared" si="58"/>
        <v>#DIV/0!</v>
      </c>
    </row>
    <row r="121" spans="3:24" x14ac:dyDescent="0.3">
      <c r="C121" s="20"/>
      <c r="D121" s="15"/>
      <c r="E121" s="42"/>
      <c r="F121" s="55"/>
      <c r="G121" s="42"/>
      <c r="H121" s="42"/>
      <c r="J121" s="26"/>
    </row>
    <row r="122" spans="3:24" x14ac:dyDescent="0.3">
      <c r="C122" s="51" t="s">
        <v>517</v>
      </c>
      <c r="D122" s="84"/>
      <c r="E122" s="91"/>
      <c r="F122" s="91"/>
      <c r="G122" s="91"/>
      <c r="H122" s="91"/>
      <c r="J122" s="51" t="s">
        <v>509</v>
      </c>
    </row>
    <row r="123" spans="3:24" x14ac:dyDescent="0.3">
      <c r="C123" s="20" t="str">
        <f>C$9</f>
        <v>Replacing old circulation pumps for domestic hot water transport</v>
      </c>
      <c r="D123" s="15" t="s">
        <v>299</v>
      </c>
      <c r="E123" s="55" t="e">
        <f>-PMT(E$38,E$39,E115*$J123)</f>
        <v>#VALUE!</v>
      </c>
      <c r="F123" s="55" t="e">
        <f>-PMT(F$38,F$39,F115*$J123)</f>
        <v>#VALUE!</v>
      </c>
      <c r="G123" s="55" t="e">
        <f>-PMT(G$38,G$39,G115*$J123)</f>
        <v>#VALUE!</v>
      </c>
      <c r="H123" s="55" t="e">
        <f>-PMT(H$38,H$39,H115*$J123)</f>
        <v>#VALUE!</v>
      </c>
      <c r="J123" s="63">
        <f>(1-(((1+'Model homes'!E$166)/(1+E$38))^E$39))/(E$38-'Model homes'!E$166)</f>
        <v>13.054095919925354</v>
      </c>
    </row>
    <row r="124" spans="3:24" x14ac:dyDescent="0.3">
      <c r="C124" s="20" t="str">
        <f>C$10</f>
        <v>Replacing old circulation pumps for space heat water transport</v>
      </c>
      <c r="D124" s="15" t="s">
        <v>299</v>
      </c>
      <c r="E124" s="55" t="e">
        <f>-PMT(E$51,E$52,E116*$J124)</f>
        <v>#VALUE!</v>
      </c>
      <c r="F124" s="55" t="e">
        <f t="shared" ref="F124:H124" si="60">-PMT(F$51,F$52,F116*$J124)</f>
        <v>#VALUE!</v>
      </c>
      <c r="G124" s="55" t="e">
        <f t="shared" si="60"/>
        <v>#VALUE!</v>
      </c>
      <c r="H124" s="55" t="e">
        <f t="shared" si="60"/>
        <v>#VALUE!</v>
      </c>
      <c r="J124" s="63">
        <f>(1-(((1+'Model homes'!E$166)/(1+E$51))^E$52))/(E$51-'Model homes'!E$166)</f>
        <v>13.054095919925354</v>
      </c>
    </row>
    <row r="125" spans="3:24" x14ac:dyDescent="0.3">
      <c r="C125" s="20" t="str">
        <f>C$11</f>
        <v>Replacing inefficient electricity devices - refrigerator</v>
      </c>
      <c r="D125" s="15" t="s">
        <v>299</v>
      </c>
      <c r="E125" s="55" t="e">
        <f>-PMT(E$66,E$67,E117*$J125)</f>
        <v>#VALUE!</v>
      </c>
      <c r="F125" s="55" t="e">
        <f t="shared" ref="F125:H125" si="61">-PMT(F$66,F$67,F117*$J125)</f>
        <v>#VALUE!</v>
      </c>
      <c r="G125" s="55" t="e">
        <f t="shared" si="61"/>
        <v>#VALUE!</v>
      </c>
      <c r="H125" s="55" t="e">
        <f t="shared" si="61"/>
        <v>#VALUE!</v>
      </c>
      <c r="J125" s="63">
        <f>(1-(((1+'Model homes'!E$166)/(1+E$66))^E$67))/(E$66-'Model homes'!E$166)</f>
        <v>10.665760557504042</v>
      </c>
    </row>
    <row r="126" spans="3:24" x14ac:dyDescent="0.3">
      <c r="C126" s="20" t="str">
        <f>C$12</f>
        <v>Replacing inefficient electricity devices - freezer</v>
      </c>
      <c r="D126" s="15" t="s">
        <v>299</v>
      </c>
      <c r="E126" s="55" t="e">
        <f>-PMT(E$81,E$82,E118*$J126)</f>
        <v>#VALUE!</v>
      </c>
      <c r="F126" s="55" t="e">
        <f t="shared" ref="F126:H126" si="62">-PMT(F$81,F$82,F118*$J126)</f>
        <v>#VALUE!</v>
      </c>
      <c r="G126" s="55" t="e">
        <f t="shared" si="62"/>
        <v>#VALUE!</v>
      </c>
      <c r="H126" s="55" t="e">
        <f t="shared" si="62"/>
        <v>#VALUE!</v>
      </c>
      <c r="J126" s="63">
        <f>(1-(((1+'Model homes'!E$166)/(1+E$81))^E$82))/(E$81-'Model homes'!E$166)</f>
        <v>13.054095919925354</v>
      </c>
    </row>
    <row r="127" spans="3:24" x14ac:dyDescent="0.3">
      <c r="C127" s="20" t="str">
        <f>C$13</f>
        <v>Replacing inefficient electricity devices - washing machine</v>
      </c>
      <c r="D127" s="15" t="s">
        <v>299</v>
      </c>
      <c r="E127" s="55" t="e">
        <f>-PMT(E$96,E$97,E119*$J127)</f>
        <v>#VALUE!</v>
      </c>
      <c r="F127" s="55" t="e">
        <f t="shared" ref="F127:H127" si="63">-PMT(F$96,F$97,F119*$J127)</f>
        <v>#VALUE!</v>
      </c>
      <c r="G127" s="55" t="e">
        <f t="shared" si="63"/>
        <v>#VALUE!</v>
      </c>
      <c r="H127" s="55" t="e">
        <f t="shared" si="63"/>
        <v>#VALUE!</v>
      </c>
      <c r="J127" s="63">
        <f>(1-(((1+'Model homes'!E$166)/(1+E$96))^E$97))/(E$96-'Model homes'!E$166)</f>
        <v>10.665760557504042</v>
      </c>
    </row>
    <row r="128" spans="3:24" x14ac:dyDescent="0.3">
      <c r="C128" s="20" t="str">
        <f>C$14</f>
        <v>Replacing inefficient electricity devices - dish washer</v>
      </c>
      <c r="D128" s="15" t="s">
        <v>299</v>
      </c>
      <c r="E128" s="55" t="e">
        <f>-PMT(E$111,E$112,E120*$J128)</f>
        <v>#VALUE!</v>
      </c>
      <c r="F128" s="55" t="e">
        <f t="shared" ref="F128:H128" si="64">-PMT(F$111,F$112,F120*$J128)</f>
        <v>#VALUE!</v>
      </c>
      <c r="G128" s="55" t="e">
        <f t="shared" si="64"/>
        <v>#VALUE!</v>
      </c>
      <c r="H128" s="55" t="e">
        <f t="shared" si="64"/>
        <v>#VALUE!</v>
      </c>
      <c r="J128" s="63">
        <f>(1-(((1+'Model homes'!E$166)/(1+E$111))^E$112))/(E$111-'Model homes'!E$166)</f>
        <v>10.665760557504042</v>
      </c>
    </row>
    <row r="129" spans="2:20" x14ac:dyDescent="0.3">
      <c r="C129" s="20"/>
      <c r="D129" s="15"/>
      <c r="E129" s="42"/>
      <c r="F129" s="55"/>
      <c r="G129" s="42"/>
      <c r="H129" s="42"/>
      <c r="J129" s="26"/>
    </row>
    <row r="130" spans="2:20" ht="20.25" x14ac:dyDescent="0.35">
      <c r="C130" s="81" t="s">
        <v>518</v>
      </c>
      <c r="D130" s="46"/>
      <c r="E130" s="55"/>
      <c r="F130" s="55"/>
      <c r="G130" s="55"/>
      <c r="H130" s="55"/>
      <c r="J130" s="26"/>
    </row>
    <row r="131" spans="2:20" s="18" customFormat="1" ht="17.25" thickBot="1" x14ac:dyDescent="0.35">
      <c r="B131" s="19" t="s">
        <v>153</v>
      </c>
      <c r="C131" s="19" t="s">
        <v>154</v>
      </c>
      <c r="D131" s="19" t="s">
        <v>32</v>
      </c>
      <c r="E131" s="19" t="s">
        <v>155</v>
      </c>
      <c r="F131" s="19"/>
      <c r="G131" s="19" t="s">
        <v>155</v>
      </c>
      <c r="H131" s="19"/>
      <c r="I131" s="19"/>
      <c r="J131" s="56" t="s">
        <v>156</v>
      </c>
      <c r="K131" s="56"/>
    </row>
    <row r="132" spans="2:20" s="30" customFormat="1" ht="18" thickTop="1" thickBot="1" x14ac:dyDescent="0.35">
      <c r="B132" s="28"/>
      <c r="C132" s="29" t="s">
        <v>157</v>
      </c>
      <c r="D132" s="29"/>
      <c r="E132" s="335" t="s">
        <v>5</v>
      </c>
      <c r="F132" s="335"/>
      <c r="G132" s="335" t="s">
        <v>6</v>
      </c>
      <c r="H132" s="335"/>
      <c r="I132" s="28"/>
      <c r="J132" s="28"/>
      <c r="K132" s="57"/>
      <c r="M132" s="20"/>
    </row>
    <row r="133" spans="2:20" ht="18" thickTop="1" thickBot="1" x14ac:dyDescent="0.35">
      <c r="B133" s="19"/>
      <c r="C133" s="29" t="s">
        <v>158</v>
      </c>
      <c r="D133" s="29"/>
      <c r="E133" s="29" t="s">
        <v>7</v>
      </c>
      <c r="F133" s="29" t="s">
        <v>8</v>
      </c>
      <c r="G133" s="29" t="s">
        <v>7</v>
      </c>
      <c r="H133" s="29" t="s">
        <v>8</v>
      </c>
      <c r="I133" s="19"/>
      <c r="J133" s="19"/>
      <c r="K133" s="56"/>
      <c r="M133" s="82"/>
      <c r="N133" s="82"/>
    </row>
    <row r="134" spans="2:20" ht="17.25" thickTop="1" x14ac:dyDescent="0.3">
      <c r="C134" s="51" t="s">
        <v>519</v>
      </c>
      <c r="D134" s="84"/>
      <c r="E134" s="90"/>
      <c r="F134" s="90"/>
      <c r="G134" s="90"/>
      <c r="H134" s="90"/>
      <c r="J134" s="20" t="s">
        <v>520</v>
      </c>
      <c r="O134" s="17" t="s">
        <v>7</v>
      </c>
      <c r="P134" s="17" t="s">
        <v>8</v>
      </c>
    </row>
    <row r="135" spans="2:20" x14ac:dyDescent="0.3">
      <c r="C135" s="20" t="str">
        <f>C$9</f>
        <v>Replacing old circulation pumps for domestic hot water transport</v>
      </c>
      <c r="D135" s="84" t="s">
        <v>512</v>
      </c>
      <c r="E135" s="97" t="e">
        <f>IF(E115=0,"-",IF(E$33/(E115-E$34)&lt;0,"-",E$33/(E115-E$34)))</f>
        <v>#VALUE!</v>
      </c>
      <c r="F135" s="97" t="e">
        <f>IF(F115=0,"-",IF(F$33/(F115-F$34)&lt;0,"-",F$33/(F115-F$34)))</f>
        <v>#VALUE!</v>
      </c>
      <c r="G135" s="97" t="e">
        <f>IF(G115=0,"-",IF(G$33/(G115-G$34)&lt;0,"-",G$33/(G115-G$34)))</f>
        <v>#VALUE!</v>
      </c>
      <c r="H135" s="97" t="e">
        <f>IF(H115=0,"-",IF(H$33/(H115-H$34)&lt;0,"-",H$33/(H115-H$34)))</f>
        <v>#VALUE!</v>
      </c>
      <c r="J135" s="42" t="e">
        <f t="shared" ref="J135:M135" si="65">IF(E135&lt;E$39,"yes","no")</f>
        <v>#VALUE!</v>
      </c>
      <c r="K135" s="42" t="e">
        <f t="shared" si="65"/>
        <v>#VALUE!</v>
      </c>
      <c r="L135" s="42" t="e">
        <f t="shared" si="65"/>
        <v>#VALUE!</v>
      </c>
      <c r="M135" s="42" t="e">
        <f t="shared" si="65"/>
        <v>#VALUE!</v>
      </c>
      <c r="O135" s="17" t="str">
        <f t="shared" ref="O135:P140" si="66">IF((COUNTIF(J135,"yes")+COUNTIF(L135,"yes"))&gt;=(COUNTIF(J135,"no")+COUNTIF(L135,"no")),"yes","no")</f>
        <v>yes</v>
      </c>
      <c r="P135" s="17" t="str">
        <f t="shared" si="66"/>
        <v>yes</v>
      </c>
    </row>
    <row r="136" spans="2:20" x14ac:dyDescent="0.3">
      <c r="C136" s="20" t="str">
        <f>C$10</f>
        <v>Replacing old circulation pumps for space heat water transport</v>
      </c>
      <c r="D136" s="84" t="s">
        <v>512</v>
      </c>
      <c r="E136" s="97" t="e">
        <f>IF(E116=0,"-",IF(E$46/(E116-E$47)&lt;0,"-",E$46/(E116-E$47)))</f>
        <v>#VALUE!</v>
      </c>
      <c r="F136" s="97" t="e">
        <f>IF(F116=0,"-",IF(F$46/(F116-F$47)&lt;0,"-",F$46/(F116-F$47)))</f>
        <v>#VALUE!</v>
      </c>
      <c r="G136" s="97" t="e">
        <f>IF(G116=0,"-",IF(G$46/(G116-G$47)&lt;0,"-",G$46/(G116-G$47)))</f>
        <v>#VALUE!</v>
      </c>
      <c r="H136" s="97" t="e">
        <f>IF(H116=0,"-",IF(H$46/(H116-H$47)&lt;0,"-",H$46/(H116-H$47)))</f>
        <v>#VALUE!</v>
      </c>
      <c r="J136" s="42" t="e">
        <f>IF(E136&lt;E$52,"yes","no")</f>
        <v>#VALUE!</v>
      </c>
      <c r="K136" s="42" t="e">
        <f t="shared" ref="K136:M136" si="67">IF(F136&lt;F$52,"yes","no")</f>
        <v>#VALUE!</v>
      </c>
      <c r="L136" s="42" t="e">
        <f t="shared" si="67"/>
        <v>#VALUE!</v>
      </c>
      <c r="M136" s="42" t="e">
        <f t="shared" si="67"/>
        <v>#VALUE!</v>
      </c>
      <c r="N136" s="42"/>
      <c r="O136" s="17" t="str">
        <f t="shared" si="66"/>
        <v>yes</v>
      </c>
      <c r="P136" s="17" t="str">
        <f t="shared" si="66"/>
        <v>yes</v>
      </c>
      <c r="R136" s="169"/>
    </row>
    <row r="137" spans="2:20" x14ac:dyDescent="0.3">
      <c r="C137" s="20" t="str">
        <f>C$11</f>
        <v>Replacing inefficient electricity devices - refrigerator</v>
      </c>
      <c r="D137" s="84" t="s">
        <v>512</v>
      </c>
      <c r="E137" s="97" t="e">
        <f>IF(E$61/(E117-E$62)&lt;0,"-",E$61/(E117-E$62))</f>
        <v>#VALUE!</v>
      </c>
      <c r="F137" s="97" t="e">
        <f>IF(F$61/(F117-F$62)&lt;0,"-",F$61/(F117-F$62))</f>
        <v>#VALUE!</v>
      </c>
      <c r="G137" s="97" t="e">
        <f>IF(G$61/(G117-G$62)&lt;0,"-",G$61/(G117-G$62))</f>
        <v>#VALUE!</v>
      </c>
      <c r="H137" s="97" t="e">
        <f>IF(H$61/(H117-H$62)&lt;0,"-",H$61/(H117-H$62))</f>
        <v>#VALUE!</v>
      </c>
      <c r="J137" s="42" t="e">
        <f>IF(E137&lt;E$67,"yes","no")</f>
        <v>#VALUE!</v>
      </c>
      <c r="K137" s="42" t="e">
        <f t="shared" ref="K137:M137" si="68">IF(F137&lt;F$67,"yes","no")</f>
        <v>#VALUE!</v>
      </c>
      <c r="L137" s="42" t="e">
        <f t="shared" si="68"/>
        <v>#VALUE!</v>
      </c>
      <c r="M137" s="42" t="e">
        <f t="shared" si="68"/>
        <v>#VALUE!</v>
      </c>
      <c r="O137" s="17" t="str">
        <f t="shared" si="66"/>
        <v>yes</v>
      </c>
      <c r="P137" s="17" t="str">
        <f t="shared" si="66"/>
        <v>yes</v>
      </c>
    </row>
    <row r="138" spans="2:20" x14ac:dyDescent="0.3">
      <c r="C138" s="20" t="str">
        <f>C$12</f>
        <v>Replacing inefficient electricity devices - freezer</v>
      </c>
      <c r="D138" s="84" t="s">
        <v>512</v>
      </c>
      <c r="E138" s="97" t="e">
        <f>IF(E$76/(E118-E$77)&lt;0,"-",E$76/(E118-E$77))</f>
        <v>#VALUE!</v>
      </c>
      <c r="F138" s="97" t="e">
        <f>IF(F$76/(F118-F$77)&lt;0,"-",F$76/(F118-F$77))</f>
        <v>#VALUE!</v>
      </c>
      <c r="G138" s="97" t="e">
        <f>IF(G$76/(G118-G$77)&lt;0,"-",G$76/(G118-G$77))</f>
        <v>#VALUE!</v>
      </c>
      <c r="H138" s="97" t="e">
        <f>IF(H$76/(H118-H$77)&lt;0,"-",H$76/(H118-H$77))</f>
        <v>#VALUE!</v>
      </c>
      <c r="J138" s="42" t="e">
        <f>IF(E138&lt;E$82,"yes","no")</f>
        <v>#VALUE!</v>
      </c>
      <c r="K138" s="42" t="e">
        <f t="shared" ref="K138:M138" si="69">IF(F138&lt;F$82,"yes","no")</f>
        <v>#VALUE!</v>
      </c>
      <c r="L138" s="42" t="e">
        <f t="shared" si="69"/>
        <v>#VALUE!</v>
      </c>
      <c r="M138" s="42" t="e">
        <f t="shared" si="69"/>
        <v>#VALUE!</v>
      </c>
      <c r="O138" s="17" t="str">
        <f t="shared" si="66"/>
        <v>yes</v>
      </c>
      <c r="P138" s="17" t="str">
        <f t="shared" si="66"/>
        <v>yes</v>
      </c>
    </row>
    <row r="139" spans="2:20" x14ac:dyDescent="0.3">
      <c r="C139" s="20" t="str">
        <f>C$13</f>
        <v>Replacing inefficient electricity devices - washing machine</v>
      </c>
      <c r="D139" s="84" t="s">
        <v>512</v>
      </c>
      <c r="E139" s="97" t="e">
        <f>IF(E$91/(E119-E$92)&lt;0,"-",E$91/(E119-E$92))</f>
        <v>#VALUE!</v>
      </c>
      <c r="F139" s="97" t="e">
        <f>IF(F$91/(F119-F$92)&lt;0,"-",F$91/(F119-F$92))</f>
        <v>#VALUE!</v>
      </c>
      <c r="G139" s="97" t="e">
        <f>IF(G$91/(G119-G$92)&lt;0,"-",G$91/(G119-G$92))</f>
        <v>#VALUE!</v>
      </c>
      <c r="H139" s="97" t="e">
        <f>IF(H$91/(H119-H$92)&lt;0,"-",H$91/(H119-H$92))</f>
        <v>#VALUE!</v>
      </c>
      <c r="J139" s="42" t="e">
        <f>IF(E139&lt;E$97,"yes","no")</f>
        <v>#VALUE!</v>
      </c>
      <c r="K139" s="42" t="e">
        <f t="shared" ref="K139:M139" si="70">IF(F139&lt;F$97,"yes","no")</f>
        <v>#VALUE!</v>
      </c>
      <c r="L139" s="42" t="e">
        <f t="shared" si="70"/>
        <v>#VALUE!</v>
      </c>
      <c r="M139" s="42" t="e">
        <f t="shared" si="70"/>
        <v>#VALUE!</v>
      </c>
      <c r="O139" s="17" t="str">
        <f t="shared" si="66"/>
        <v>yes</v>
      </c>
      <c r="P139" s="17" t="str">
        <f t="shared" si="66"/>
        <v>yes</v>
      </c>
    </row>
    <row r="140" spans="2:20" x14ac:dyDescent="0.3">
      <c r="C140" s="20" t="str">
        <f>C$14</f>
        <v>Replacing inefficient electricity devices - dish washer</v>
      </c>
      <c r="D140" s="84" t="s">
        <v>512</v>
      </c>
      <c r="E140" s="97" t="e">
        <f>IF(E$106/(E120-E$107)&lt;0,"-",E$106/(E120-E$107))</f>
        <v>#VALUE!</v>
      </c>
      <c r="F140" s="97" t="e">
        <f>IF(F$106/(F120-F$107)&lt;0,"-",F$106/(F120-F$107))</f>
        <v>#VALUE!</v>
      </c>
      <c r="G140" s="97" t="e">
        <f>IF(G$106/(G120-G$107)&lt;0,"-",G$106/(G120-G$107))</f>
        <v>#VALUE!</v>
      </c>
      <c r="H140" s="97" t="e">
        <f>IF(H$106/(H120-H$107)&lt;0,"-",H$106/(H120-H$107))</f>
        <v>#VALUE!</v>
      </c>
      <c r="J140" s="42" t="e">
        <f>IF(E140&lt;E$112,"yes","no")</f>
        <v>#VALUE!</v>
      </c>
      <c r="K140" s="42" t="e">
        <f t="shared" ref="K140:M140" si="71">IF(F140&lt;F$112,"yes","no")</f>
        <v>#VALUE!</v>
      </c>
      <c r="L140" s="42" t="e">
        <f t="shared" si="71"/>
        <v>#VALUE!</v>
      </c>
      <c r="M140" s="42" t="e">
        <f t="shared" si="71"/>
        <v>#VALUE!</v>
      </c>
      <c r="O140" s="17" t="str">
        <f t="shared" si="66"/>
        <v>yes</v>
      </c>
      <c r="P140" s="17" t="str">
        <f t="shared" si="66"/>
        <v>yes</v>
      </c>
    </row>
    <row r="141" spans="2:20" x14ac:dyDescent="0.3">
      <c r="C141" s="20"/>
      <c r="D141" s="96"/>
      <c r="E141" s="55"/>
      <c r="F141" s="55"/>
      <c r="G141" s="55"/>
      <c r="H141" s="55"/>
      <c r="J141" s="26"/>
      <c r="R141" s="42"/>
      <c r="S141" s="42"/>
      <c r="T141" s="42"/>
    </row>
    <row r="142" spans="2:20" x14ac:dyDescent="0.3">
      <c r="C142" s="51" t="s">
        <v>521</v>
      </c>
      <c r="D142" s="84"/>
      <c r="E142" s="90"/>
      <c r="F142" s="90"/>
      <c r="G142" s="90"/>
      <c r="H142" s="90"/>
      <c r="J142" s="20" t="s">
        <v>520</v>
      </c>
    </row>
    <row r="143" spans="2:20" x14ac:dyDescent="0.3">
      <c r="C143" s="20" t="str">
        <f>C$9</f>
        <v>Replacing old circulation pumps for domestic hot water transport</v>
      </c>
      <c r="D143" s="84" t="s">
        <v>512</v>
      </c>
      <c r="E143" s="97" t="e">
        <f>IF(E123=0,"-",IF((E$33)/(E123-E$37)&lt;0,"-",(E$33)/(E123-E$37)))</f>
        <v>#VALUE!</v>
      </c>
      <c r="F143" s="97" t="e">
        <f>IF(F115=0,"-",IF((F$33)/(F123-F$37)&lt;0,"-",(F$33)/(F123-F$37)))</f>
        <v>#VALUE!</v>
      </c>
      <c r="G143" s="97" t="e">
        <f>IF(G115=0,"-",IF((G$33)/(G123-G$37)&lt;0,"-",(G$33)/(G123-G$37)))</f>
        <v>#VALUE!</v>
      </c>
      <c r="H143" s="97" t="e">
        <f>IF(H115=0,"-",IF((H$33)/(H123-H$37)&lt;0,"-",(H$33)/(H123-H$37)))</f>
        <v>#VALUE!</v>
      </c>
      <c r="J143" s="42" t="e">
        <f t="shared" ref="J143:M143" si="72">IF(E143&lt;E$39,"yes","no")</f>
        <v>#VALUE!</v>
      </c>
      <c r="K143" s="42" t="e">
        <f t="shared" si="72"/>
        <v>#VALUE!</v>
      </c>
      <c r="L143" s="42" t="e">
        <f t="shared" si="72"/>
        <v>#VALUE!</v>
      </c>
      <c r="M143" s="42" t="e">
        <f t="shared" si="72"/>
        <v>#VALUE!</v>
      </c>
    </row>
    <row r="144" spans="2:20" x14ac:dyDescent="0.3">
      <c r="C144" s="20" t="str">
        <f>C$10</f>
        <v>Replacing old circulation pumps for space heat water transport</v>
      </c>
      <c r="D144" s="84" t="s">
        <v>512</v>
      </c>
      <c r="E144" s="97" t="e">
        <f>IF(E124=0,"-",IF((E$46)/(E124-E$50)&lt;0,"-",(E$46)/(E124-E$50)))</f>
        <v>#VALUE!</v>
      </c>
      <c r="F144" s="97" t="e">
        <f>IF(F124=0,"-",IF((F$46)/(F124-F$50)&lt;0,"-",(F$46)/(F124-F$50)))</f>
        <v>#VALUE!</v>
      </c>
      <c r="G144" s="97" t="e">
        <f>IF(G124=0,"-",IF((G$46)/(G124-G$50)&lt;0,"-",(G$46)/(G124-G$50)))</f>
        <v>#VALUE!</v>
      </c>
      <c r="H144" s="97" t="e">
        <f>IF(H124=0,"-",IF((H$46)/(H124-H$50)&lt;0,"-",(H$46)/(H124-H$50)))</f>
        <v>#VALUE!</v>
      </c>
      <c r="J144" s="42" t="e">
        <f>IF(E144&lt;E$52,"yes","no")</f>
        <v>#VALUE!</v>
      </c>
      <c r="K144" s="42" t="e">
        <f t="shared" ref="K144:M144" si="73">IF(F144&lt;F$52,"yes","no")</f>
        <v>#VALUE!</v>
      </c>
      <c r="L144" s="42" t="e">
        <f t="shared" si="73"/>
        <v>#VALUE!</v>
      </c>
      <c r="M144" s="42" t="e">
        <f t="shared" si="73"/>
        <v>#VALUE!</v>
      </c>
    </row>
    <row r="145" spans="3:40" x14ac:dyDescent="0.3">
      <c r="C145" s="20" t="str">
        <f>C$11</f>
        <v>Replacing inefficient electricity devices - refrigerator</v>
      </c>
      <c r="D145" s="84" t="s">
        <v>512</v>
      </c>
      <c r="E145" s="97" t="e">
        <f>IF((E$61)/(E125-E$65)&lt;0,"-",(E$61)/(E125-E$65))</f>
        <v>#VALUE!</v>
      </c>
      <c r="F145" s="97" t="e">
        <f>IF((F$61)/(F125-F$65)&lt;0,"-",(F$61)/(F125-F$65))</f>
        <v>#VALUE!</v>
      </c>
      <c r="G145" s="97" t="e">
        <f>IF((G$61)/(G125-G$65)&lt;0,"-",(G$61)/(G125-G$65))</f>
        <v>#VALUE!</v>
      </c>
      <c r="H145" s="97" t="e">
        <f>IF((H$61)/(H125-H$65)&lt;0,"-",(H$61)/(H125-H$65))</f>
        <v>#VALUE!</v>
      </c>
      <c r="J145" s="42" t="e">
        <f>IF(E145&lt;E$67,"yes","no")</f>
        <v>#VALUE!</v>
      </c>
      <c r="K145" s="42" t="e">
        <f t="shared" ref="K145:M145" si="74">IF(F145&lt;F$67,"yes","no")</f>
        <v>#VALUE!</v>
      </c>
      <c r="L145" s="42" t="e">
        <f t="shared" si="74"/>
        <v>#VALUE!</v>
      </c>
      <c r="M145" s="42" t="e">
        <f t="shared" si="74"/>
        <v>#VALUE!</v>
      </c>
    </row>
    <row r="146" spans="3:40" x14ac:dyDescent="0.3">
      <c r="C146" s="20" t="str">
        <f>C$12</f>
        <v>Replacing inefficient electricity devices - freezer</v>
      </c>
      <c r="D146" s="84" t="s">
        <v>512</v>
      </c>
      <c r="E146" s="97" t="e">
        <f>IF((E$76)/(E126-E$80)&lt;0,"-",(E$76)/(E126-E$80))</f>
        <v>#VALUE!</v>
      </c>
      <c r="F146" s="97" t="e">
        <f>IF((F$76)/(F126-F$80)&lt;0,"-",(F$76)/(F126-F$80))</f>
        <v>#VALUE!</v>
      </c>
      <c r="G146" s="97" t="e">
        <f>IF((G$76)/(G126-G$80)&lt;0,"-",(G$76)/(G126-G$80))</f>
        <v>#VALUE!</v>
      </c>
      <c r="H146" s="97" t="e">
        <f>IF((H$76)/(H126-H$80)&lt;0,"-",(H$76)/(H126-H$80))</f>
        <v>#VALUE!</v>
      </c>
      <c r="J146" s="42" t="e">
        <f>IF(E146&lt;E$82,"yes","no")</f>
        <v>#VALUE!</v>
      </c>
      <c r="K146" s="42" t="e">
        <f t="shared" ref="K146:M146" si="75">IF(F146&lt;F$82,"yes","no")</f>
        <v>#VALUE!</v>
      </c>
      <c r="L146" s="42" t="e">
        <f t="shared" si="75"/>
        <v>#VALUE!</v>
      </c>
      <c r="M146" s="42" t="e">
        <f t="shared" si="75"/>
        <v>#VALUE!</v>
      </c>
    </row>
    <row r="147" spans="3:40" x14ac:dyDescent="0.3">
      <c r="C147" s="20" t="str">
        <f>C$13</f>
        <v>Replacing inefficient electricity devices - washing machine</v>
      </c>
      <c r="D147" s="84" t="s">
        <v>512</v>
      </c>
      <c r="E147" s="97" t="e">
        <f>IF((E$91)/(E127-E$95)&lt;0,"-",(E$91)/(E127-E$95))</f>
        <v>#VALUE!</v>
      </c>
      <c r="F147" s="97" t="e">
        <f>IF((F$91)/(F127-F$95)&lt;0,"-",(F$91)/(F127-F$95))</f>
        <v>#VALUE!</v>
      </c>
      <c r="G147" s="97" t="e">
        <f>IF((G$91)/(G127-G$95)&lt;0,"-",(G$91)/(G127-G$95))</f>
        <v>#VALUE!</v>
      </c>
      <c r="H147" s="97" t="e">
        <f>IF((H$91)/(H127-H$95)&lt;0,"-",(H$91)/(H127-H$95))</f>
        <v>#VALUE!</v>
      </c>
      <c r="J147" s="42" t="e">
        <f>IF(E147&lt;E$97,"yes","no")</f>
        <v>#VALUE!</v>
      </c>
      <c r="K147" s="42" t="e">
        <f t="shared" ref="K147:M147" si="76">IF(F147&lt;F$97,"yes","no")</f>
        <v>#VALUE!</v>
      </c>
      <c r="L147" s="42" t="e">
        <f t="shared" si="76"/>
        <v>#VALUE!</v>
      </c>
      <c r="M147" s="42" t="e">
        <f t="shared" si="76"/>
        <v>#VALUE!</v>
      </c>
    </row>
    <row r="148" spans="3:40" x14ac:dyDescent="0.3">
      <c r="C148" s="20" t="str">
        <f>C$14</f>
        <v>Replacing inefficient electricity devices - dish washer</v>
      </c>
      <c r="D148" s="84" t="s">
        <v>512</v>
      </c>
      <c r="E148" s="97" t="e">
        <f>IF((E$106)/(E128-E$110)&lt;0,"-",(E$106)/(E128-E$110))</f>
        <v>#VALUE!</v>
      </c>
      <c r="F148" s="97" t="e">
        <f>IF((F$106)/(F128-F$110)&lt;0,"-",(F$106)/(F128-F$110))</f>
        <v>#VALUE!</v>
      </c>
      <c r="G148" s="97" t="e">
        <f>IF((G$106)/(G128-G$110)&lt;0,"-",(G$106)/(G128-G$110))</f>
        <v>#VALUE!</v>
      </c>
      <c r="H148" s="97" t="e">
        <f>IF((H$106)/(H128-H$110)&lt;0,"-",(H$106)/(H128-H$110))</f>
        <v>#VALUE!</v>
      </c>
      <c r="J148" s="42" t="e">
        <f>IF(E148&lt;E$112,"yes","no")</f>
        <v>#VALUE!</v>
      </c>
      <c r="K148" s="42" t="e">
        <f t="shared" ref="K148:M148" si="77">IF(F148&lt;F$112,"yes","no")</f>
        <v>#VALUE!</v>
      </c>
      <c r="L148" s="42" t="e">
        <f t="shared" si="77"/>
        <v>#VALUE!</v>
      </c>
      <c r="M148" s="42" t="e">
        <f t="shared" si="77"/>
        <v>#VALUE!</v>
      </c>
    </row>
    <row r="150" spans="3:40" x14ac:dyDescent="0.3">
      <c r="C150" s="51" t="s">
        <v>522</v>
      </c>
      <c r="D150" s="84"/>
      <c r="E150" s="90"/>
      <c r="F150" s="90"/>
      <c r="G150" s="90"/>
      <c r="H150" s="90"/>
      <c r="J150" s="51" t="s">
        <v>523</v>
      </c>
      <c r="R150" s="51" t="s">
        <v>524</v>
      </c>
      <c r="Z150" s="51" t="s">
        <v>525</v>
      </c>
      <c r="AH150" s="51" t="s">
        <v>526</v>
      </c>
    </row>
    <row r="151" spans="3:40" ht="15.95" customHeight="1" x14ac:dyDescent="0.3">
      <c r="C151" s="20" t="str">
        <f>C$9</f>
        <v>Replacing old circulation pumps for domestic hot water transport</v>
      </c>
      <c r="D151" s="84" t="s">
        <v>527</v>
      </c>
      <c r="E151" s="130" t="e">
        <f>E17*'Model homes'!$J$117*10^-6</f>
        <v>#N/A</v>
      </c>
      <c r="F151" s="130" t="e">
        <f>F17*'Model homes'!$J117*10^-6</f>
        <v>#N/A</v>
      </c>
      <c r="G151" s="130" t="e">
        <f>G17*'Model homes'!$J117*10^-6</f>
        <v>#N/A</v>
      </c>
      <c r="H151" s="130" t="e">
        <f>H17*'Model homes'!$J117*10^-6</f>
        <v>#N/A</v>
      </c>
      <c r="J151" s="213" t="s">
        <v>21</v>
      </c>
      <c r="L151" s="207" t="s">
        <v>528</v>
      </c>
      <c r="M151" s="130" t="e">
        <f>'Model homes'!$E$281*E17*10^-6</f>
        <v>#DIV/0!</v>
      </c>
      <c r="N151" s="130" t="e">
        <f>'Model homes'!$E$281*F17*10^-6</f>
        <v>#DIV/0!</v>
      </c>
      <c r="O151" s="130" t="e">
        <f>'Model homes'!$E$281*G17*10^-6</f>
        <v>#DIV/0!</v>
      </c>
      <c r="P151" s="130" t="e">
        <f>'Model homes'!$E$281*H17*10^-6</f>
        <v>#DIV/0!</v>
      </c>
      <c r="R151" s="213" t="s">
        <v>21</v>
      </c>
      <c r="T151" s="207" t="s">
        <v>529</v>
      </c>
      <c r="U151" s="130" t="e">
        <f>'Model homes'!$F$281*E17*10^-6</f>
        <v>#DIV/0!</v>
      </c>
      <c r="V151" s="130" t="e">
        <f>'Model homes'!$F$281*F17*10^-6</f>
        <v>#DIV/0!</v>
      </c>
      <c r="W151" s="130" t="e">
        <f>'Model homes'!$F$281*G17*10^-6</f>
        <v>#DIV/0!</v>
      </c>
      <c r="X151" s="130" t="e">
        <f>'Model homes'!$F$281*H17*10^-6</f>
        <v>#DIV/0!</v>
      </c>
      <c r="Z151" s="213" t="s">
        <v>21</v>
      </c>
      <c r="AB151" s="207" t="s">
        <v>530</v>
      </c>
      <c r="AC151" s="130" t="e">
        <f>'Model homes'!$G$281*E17*10^-6</f>
        <v>#DIV/0!</v>
      </c>
      <c r="AD151" s="130" t="e">
        <f>'Model homes'!$G$281*F17*10^-6</f>
        <v>#DIV/0!</v>
      </c>
      <c r="AE151" s="130" t="e">
        <f>'Model homes'!$G$281*G17*10^-6</f>
        <v>#DIV/0!</v>
      </c>
      <c r="AF151" s="130" t="e">
        <f>'Model homes'!$G$281*H17*10^-6</f>
        <v>#DIV/0!</v>
      </c>
      <c r="AH151" s="213" t="s">
        <v>21</v>
      </c>
      <c r="AJ151" s="207" t="s">
        <v>531</v>
      </c>
      <c r="AK151" s="130" t="e">
        <f>'Model homes'!$H$281*E17*10^-6</f>
        <v>#DIV/0!</v>
      </c>
      <c r="AL151" s="130" t="e">
        <f>'Model homes'!$H$281*F17*10^-6</f>
        <v>#DIV/0!</v>
      </c>
      <c r="AM151" s="130" t="e">
        <f>'Model homes'!$H$281*G17*10^-6</f>
        <v>#DIV/0!</v>
      </c>
      <c r="AN151" s="130" t="e">
        <f>'Model homes'!$H$281*H17*10^-6</f>
        <v>#DIV/0!</v>
      </c>
    </row>
    <row r="152" spans="3:40" ht="15.95" customHeight="1" x14ac:dyDescent="0.3">
      <c r="C152" s="20" t="str">
        <f>C$10</f>
        <v>Replacing old circulation pumps for space heat water transport</v>
      </c>
      <c r="D152" s="84" t="s">
        <v>527</v>
      </c>
      <c r="E152" s="130" t="e">
        <f>E18*'Model homes'!$J$117*10^-6</f>
        <v>#N/A</v>
      </c>
      <c r="F152" s="130" t="e">
        <f>F18*'Model homes'!$J$117*10^-6</f>
        <v>#N/A</v>
      </c>
      <c r="G152" s="130" t="e">
        <f>G18*'Model homes'!$J$117*10^-6</f>
        <v>#N/A</v>
      </c>
      <c r="H152" s="130" t="e">
        <f>H18*'Model homes'!$J$117*10^-6</f>
        <v>#N/A</v>
      </c>
      <c r="L152" s="207" t="s">
        <v>528</v>
      </c>
      <c r="M152" s="130" t="e">
        <f>'Model homes'!$E$281*E18*10^-6</f>
        <v>#DIV/0!</v>
      </c>
      <c r="N152" s="130" t="e">
        <f>'Model homes'!$E$281*F18*10^-6</f>
        <v>#DIV/0!</v>
      </c>
      <c r="O152" s="130" t="e">
        <f>'Model homes'!$E$281*G18*10^-6</f>
        <v>#DIV/0!</v>
      </c>
      <c r="P152" s="130" t="e">
        <f>'Model homes'!$E$281*H18*10^-6</f>
        <v>#DIV/0!</v>
      </c>
      <c r="R152" s="26"/>
      <c r="T152" s="207" t="s">
        <v>529</v>
      </c>
      <c r="U152" s="130" t="e">
        <f>'Model homes'!$F$281*E18*10^-6</f>
        <v>#DIV/0!</v>
      </c>
      <c r="V152" s="130" t="e">
        <f>'Model homes'!$F$281*F18*10^-6</f>
        <v>#DIV/0!</v>
      </c>
      <c r="W152" s="130" t="e">
        <f>'Model homes'!$F$281*G18*10^-6</f>
        <v>#DIV/0!</v>
      </c>
      <c r="X152" s="130" t="e">
        <f>'Model homes'!$F$281*H18*10^-6</f>
        <v>#DIV/0!</v>
      </c>
      <c r="AB152" s="207" t="s">
        <v>530</v>
      </c>
      <c r="AC152" s="130" t="e">
        <f>'Model homes'!$G$281*E18*10^-6</f>
        <v>#DIV/0!</v>
      </c>
      <c r="AD152" s="130" t="e">
        <f>'Model homes'!$G$281*F18*10^-6</f>
        <v>#DIV/0!</v>
      </c>
      <c r="AE152" s="130" t="e">
        <f>'Model homes'!$G$281*G18*10^-6</f>
        <v>#DIV/0!</v>
      </c>
      <c r="AF152" s="130" t="e">
        <f>'Model homes'!$G$281*H18*10^-6</f>
        <v>#DIV/0!</v>
      </c>
      <c r="AJ152" s="207" t="s">
        <v>531</v>
      </c>
      <c r="AK152" s="130" t="e">
        <f>'Model homes'!$H$281*E18*10^-6</f>
        <v>#DIV/0!</v>
      </c>
      <c r="AL152" s="130" t="e">
        <f>'Model homes'!$H$281*F18*10^-6</f>
        <v>#DIV/0!</v>
      </c>
      <c r="AM152" s="130" t="e">
        <f>'Model homes'!$H$281*G18*10^-6</f>
        <v>#DIV/0!</v>
      </c>
      <c r="AN152" s="130" t="e">
        <f>'Model homes'!$H$281*H18*10^-6</f>
        <v>#DIV/0!</v>
      </c>
    </row>
    <row r="153" spans="3:40" ht="15.95" customHeight="1" x14ac:dyDescent="0.3">
      <c r="C153" s="20" t="str">
        <f>C$11</f>
        <v>Replacing inefficient electricity devices - refrigerator</v>
      </c>
      <c r="D153" s="84" t="s">
        <v>527</v>
      </c>
      <c r="E153" s="130" t="e">
        <f>E19*'Model homes'!$J$117*10^-6</f>
        <v>#N/A</v>
      </c>
      <c r="F153" s="130" t="e">
        <f>F19*'Model homes'!$J$117*10^-6</f>
        <v>#N/A</v>
      </c>
      <c r="G153" s="130" t="e">
        <f>G19*'Model homes'!$J$117*10^-6</f>
        <v>#N/A</v>
      </c>
      <c r="H153" s="130" t="e">
        <f>H19*'Model homes'!$J$117*10^-6</f>
        <v>#N/A</v>
      </c>
      <c r="L153" s="207" t="s">
        <v>528</v>
      </c>
      <c r="M153" s="130" t="e">
        <f>'Model homes'!$E$281*E19*10^-6</f>
        <v>#DIV/0!</v>
      </c>
      <c r="N153" s="130" t="e">
        <f>'Model homes'!$E$281*F19*10^-6</f>
        <v>#DIV/0!</v>
      </c>
      <c r="O153" s="130" t="e">
        <f>'Model homes'!$E$281*G19*10^-6</f>
        <v>#DIV/0!</v>
      </c>
      <c r="P153" s="130" t="e">
        <f>'Model homes'!$E$281*H19*10^-6</f>
        <v>#DIV/0!</v>
      </c>
      <c r="R153" s="26"/>
      <c r="T153" s="207" t="s">
        <v>529</v>
      </c>
      <c r="U153" s="130" t="e">
        <f>'Model homes'!$F$281*E19*10^-6</f>
        <v>#DIV/0!</v>
      </c>
      <c r="V153" s="130" t="e">
        <f>'Model homes'!$F$281*F19*10^-6</f>
        <v>#DIV/0!</v>
      </c>
      <c r="W153" s="130" t="e">
        <f>'Model homes'!$F$281*G19*10^-6</f>
        <v>#DIV/0!</v>
      </c>
      <c r="X153" s="130" t="e">
        <f>'Model homes'!$F$281*H19*10^-6</f>
        <v>#DIV/0!</v>
      </c>
      <c r="AB153" s="207" t="s">
        <v>530</v>
      </c>
      <c r="AC153" s="130" t="e">
        <f>'Model homes'!$G$281*E19*10^-6</f>
        <v>#DIV/0!</v>
      </c>
      <c r="AD153" s="130" t="e">
        <f>'Model homes'!$G$281*F19*10^-6</f>
        <v>#DIV/0!</v>
      </c>
      <c r="AE153" s="130" t="e">
        <f>'Model homes'!$G$281*G19*10^-6</f>
        <v>#DIV/0!</v>
      </c>
      <c r="AF153" s="130" t="e">
        <f>'Model homes'!$G$281*H19*10^-6</f>
        <v>#DIV/0!</v>
      </c>
      <c r="AJ153" s="207" t="s">
        <v>531</v>
      </c>
      <c r="AK153" s="130" t="e">
        <f>'Model homes'!$H$281*E19*10^-6</f>
        <v>#DIV/0!</v>
      </c>
      <c r="AL153" s="130" t="e">
        <f>'Model homes'!$H$281*F19*10^-6</f>
        <v>#DIV/0!</v>
      </c>
      <c r="AM153" s="130" t="e">
        <f>'Model homes'!$H$281*G19*10^-6</f>
        <v>#DIV/0!</v>
      </c>
      <c r="AN153" s="130" t="e">
        <f>'Model homes'!$H$281*H19*10^-6</f>
        <v>#DIV/0!</v>
      </c>
    </row>
    <row r="154" spans="3:40" ht="15.95" customHeight="1" x14ac:dyDescent="0.3">
      <c r="C154" s="20" t="str">
        <f>C$12</f>
        <v>Replacing inefficient electricity devices - freezer</v>
      </c>
      <c r="D154" s="84" t="s">
        <v>527</v>
      </c>
      <c r="E154" s="130" t="e">
        <f>E20*'Model homes'!$J$117*10^-6</f>
        <v>#N/A</v>
      </c>
      <c r="F154" s="130" t="e">
        <f>F20*'Model homes'!$J$117*10^-6</f>
        <v>#N/A</v>
      </c>
      <c r="G154" s="130" t="e">
        <f>G20*'Model homes'!$J$117*10^-6</f>
        <v>#N/A</v>
      </c>
      <c r="H154" s="130" t="e">
        <f>H20*'Model homes'!$J$117*10^-6</f>
        <v>#N/A</v>
      </c>
      <c r="J154" s="26"/>
      <c r="L154" s="207" t="s">
        <v>528</v>
      </c>
      <c r="M154" s="130" t="e">
        <f>'Model homes'!$E$281*E20*10^-6</f>
        <v>#DIV/0!</v>
      </c>
      <c r="N154" s="130" t="e">
        <f>'Model homes'!$E$281*F20*10^-6</f>
        <v>#DIV/0!</v>
      </c>
      <c r="O154" s="130" t="e">
        <f>'Model homes'!$E$281*G20*10^-6</f>
        <v>#DIV/0!</v>
      </c>
      <c r="P154" s="130" t="e">
        <f>'Model homes'!$E$281*H20*10^-6</f>
        <v>#DIV/0!</v>
      </c>
      <c r="T154" s="207" t="s">
        <v>529</v>
      </c>
      <c r="U154" s="130" t="e">
        <f>'Model homes'!$F$281*E20*10^-6</f>
        <v>#DIV/0!</v>
      </c>
      <c r="V154" s="130" t="e">
        <f>'Model homes'!$F$281*F20*10^-6</f>
        <v>#DIV/0!</v>
      </c>
      <c r="W154" s="130" t="e">
        <f>'Model homes'!$F$281*G20*10^-6</f>
        <v>#DIV/0!</v>
      </c>
      <c r="X154" s="130" t="e">
        <f>'Model homes'!$F$281*H20*10^-6</f>
        <v>#DIV/0!</v>
      </c>
      <c r="AB154" s="207" t="s">
        <v>530</v>
      </c>
      <c r="AC154" s="130" t="e">
        <f>'Model homes'!$G$281*E20*10^-6</f>
        <v>#DIV/0!</v>
      </c>
      <c r="AD154" s="130" t="e">
        <f>'Model homes'!$G$281*F20*10^-6</f>
        <v>#DIV/0!</v>
      </c>
      <c r="AE154" s="130" t="e">
        <f>'Model homes'!$G$281*G20*10^-6</f>
        <v>#DIV/0!</v>
      </c>
      <c r="AF154" s="130" t="e">
        <f>'Model homes'!$G$281*H20*10^-6</f>
        <v>#DIV/0!</v>
      </c>
      <c r="AJ154" s="207" t="s">
        <v>531</v>
      </c>
      <c r="AK154" s="130" t="e">
        <f>'Model homes'!$H$281*E20*10^-6</f>
        <v>#DIV/0!</v>
      </c>
      <c r="AL154" s="130" t="e">
        <f>'Model homes'!$H$281*F20*10^-6</f>
        <v>#DIV/0!</v>
      </c>
      <c r="AM154" s="130" t="e">
        <f>'Model homes'!$H$281*G20*10^-6</f>
        <v>#DIV/0!</v>
      </c>
      <c r="AN154" s="130" t="e">
        <f>'Model homes'!$H$281*H20*10^-6</f>
        <v>#DIV/0!</v>
      </c>
    </row>
    <row r="155" spans="3:40" ht="15.95" customHeight="1" x14ac:dyDescent="0.3">
      <c r="C155" s="20" t="str">
        <f>C$13</f>
        <v>Replacing inefficient electricity devices - washing machine</v>
      </c>
      <c r="D155" s="84" t="s">
        <v>527</v>
      </c>
      <c r="E155" s="130" t="e">
        <f>E21*'Model homes'!$J$117*10^-6</f>
        <v>#N/A</v>
      </c>
      <c r="F155" s="130" t="e">
        <f>F21*'Model homes'!$J$117*10^-6</f>
        <v>#N/A</v>
      </c>
      <c r="G155" s="130" t="e">
        <f>G21*'Model homes'!$J$117*10^-6</f>
        <v>#N/A</v>
      </c>
      <c r="H155" s="130" t="e">
        <f>H21*'Model homes'!$J$117*10^-6</f>
        <v>#N/A</v>
      </c>
      <c r="J155" s="26"/>
      <c r="L155" s="207" t="s">
        <v>528</v>
      </c>
      <c r="M155" s="130" t="e">
        <f>'Model homes'!$E$281*E21*10^-6</f>
        <v>#DIV/0!</v>
      </c>
      <c r="N155" s="130" t="e">
        <f>'Model homes'!$E$281*F21*10^-6</f>
        <v>#DIV/0!</v>
      </c>
      <c r="O155" s="130" t="e">
        <f>'Model homes'!$E$281*G21*10^-6</f>
        <v>#DIV/0!</v>
      </c>
      <c r="P155" s="130" t="e">
        <f>'Model homes'!$E$281*H21*10^-6</f>
        <v>#DIV/0!</v>
      </c>
      <c r="T155" s="207" t="s">
        <v>529</v>
      </c>
      <c r="U155" s="130" t="e">
        <f>'Model homes'!$F$281*E21*10^-6</f>
        <v>#DIV/0!</v>
      </c>
      <c r="V155" s="130" t="e">
        <f>'Model homes'!$F$281*F21*10^-6</f>
        <v>#DIV/0!</v>
      </c>
      <c r="W155" s="130" t="e">
        <f>'Model homes'!$F$281*G21*10^-6</f>
        <v>#DIV/0!</v>
      </c>
      <c r="X155" s="130" t="e">
        <f>'Model homes'!$F$281*H21*10^-6</f>
        <v>#DIV/0!</v>
      </c>
      <c r="AB155" s="207" t="s">
        <v>530</v>
      </c>
      <c r="AC155" s="130" t="e">
        <f>'Model homes'!$G$281*E21*10^-6</f>
        <v>#DIV/0!</v>
      </c>
      <c r="AD155" s="130" t="e">
        <f>'Model homes'!$G$281*F21*10^-6</f>
        <v>#DIV/0!</v>
      </c>
      <c r="AE155" s="130" t="e">
        <f>'Model homes'!$G$281*G21*10^-6</f>
        <v>#DIV/0!</v>
      </c>
      <c r="AF155" s="130" t="e">
        <f>'Model homes'!$G$281*H21*10^-6</f>
        <v>#DIV/0!</v>
      </c>
      <c r="AJ155" s="207" t="s">
        <v>531</v>
      </c>
      <c r="AK155" s="130" t="e">
        <f>'Model homes'!$H$281*E21*10^-6</f>
        <v>#DIV/0!</v>
      </c>
      <c r="AL155" s="130" t="e">
        <f>'Model homes'!$H$281*F21*10^-6</f>
        <v>#DIV/0!</v>
      </c>
      <c r="AM155" s="130" t="e">
        <f>'Model homes'!$H$281*G21*10^-6</f>
        <v>#DIV/0!</v>
      </c>
      <c r="AN155" s="130" t="e">
        <f>'Model homes'!$H$281*H21*10^-6</f>
        <v>#DIV/0!</v>
      </c>
    </row>
    <row r="156" spans="3:40" ht="15.95" customHeight="1" x14ac:dyDescent="0.3">
      <c r="C156" s="20" t="str">
        <f>C$14</f>
        <v>Replacing inefficient electricity devices - dish washer</v>
      </c>
      <c r="D156" s="84" t="s">
        <v>527</v>
      </c>
      <c r="E156" s="130" t="e">
        <f>E22*'Model homes'!$J$117*10^-6</f>
        <v>#N/A</v>
      </c>
      <c r="F156" s="130" t="e">
        <f>F22*'Model homes'!$J$117*10^-6</f>
        <v>#N/A</v>
      </c>
      <c r="G156" s="130" t="e">
        <f>G22*'Model homes'!$J$117*10^-6</f>
        <v>#N/A</v>
      </c>
      <c r="H156" s="130" t="e">
        <f>H22*'Model homes'!$J$117*10^-6</f>
        <v>#N/A</v>
      </c>
      <c r="J156" s="26"/>
      <c r="L156" s="207" t="s">
        <v>528</v>
      </c>
      <c r="M156" s="130" t="e">
        <f>'Model homes'!$E$281*E22*10^-6</f>
        <v>#DIV/0!</v>
      </c>
      <c r="N156" s="130" t="e">
        <f>'Model homes'!$E$281*F22*10^-6</f>
        <v>#DIV/0!</v>
      </c>
      <c r="O156" s="130" t="e">
        <f>'Model homes'!$E$281*G22*10^-6</f>
        <v>#DIV/0!</v>
      </c>
      <c r="P156" s="130" t="e">
        <f>'Model homes'!$E$281*H22*10^-6</f>
        <v>#DIV/0!</v>
      </c>
      <c r="T156" s="207" t="s">
        <v>529</v>
      </c>
      <c r="U156" s="130" t="e">
        <f>'Model homes'!$F$281*E22*10^-6</f>
        <v>#DIV/0!</v>
      </c>
      <c r="V156" s="130" t="e">
        <f>'Model homes'!$F$281*F22*10^-6</f>
        <v>#DIV/0!</v>
      </c>
      <c r="W156" s="130" t="e">
        <f>'Model homes'!$F$281*G22*10^-6</f>
        <v>#DIV/0!</v>
      </c>
      <c r="X156" s="130" t="e">
        <f>'Model homes'!$F$281*H22*10^-6</f>
        <v>#DIV/0!</v>
      </c>
      <c r="AB156" s="207" t="s">
        <v>530</v>
      </c>
      <c r="AC156" s="130" t="e">
        <f>'Model homes'!$G$281*E22*10^-6</f>
        <v>#DIV/0!</v>
      </c>
      <c r="AD156" s="130" t="e">
        <f>'Model homes'!$G$281*F22*10^-6</f>
        <v>#DIV/0!</v>
      </c>
      <c r="AE156" s="130" t="e">
        <f>'Model homes'!$G$281*G22*10^-6</f>
        <v>#DIV/0!</v>
      </c>
      <c r="AF156" s="130" t="e">
        <f>'Model homes'!$G$281*H22*10^-6</f>
        <v>#DIV/0!</v>
      </c>
      <c r="AJ156" s="207" t="s">
        <v>531</v>
      </c>
      <c r="AK156" s="130" t="e">
        <f>'Model homes'!$H$281*E22*10^-6</f>
        <v>#DIV/0!</v>
      </c>
      <c r="AL156" s="130" t="e">
        <f>'Model homes'!$H$281*F22*10^-6</f>
        <v>#DIV/0!</v>
      </c>
      <c r="AM156" s="130" t="e">
        <f>'Model homes'!$H$281*G22*10^-6</f>
        <v>#DIV/0!</v>
      </c>
      <c r="AN156" s="130" t="e">
        <f>'Model homes'!$H$281*H22*10^-6</f>
        <v>#DIV/0!</v>
      </c>
    </row>
    <row r="157" spans="3:40" x14ac:dyDescent="0.3">
      <c r="J157" s="26"/>
    </row>
    <row r="158" spans="3:40" x14ac:dyDescent="0.3">
      <c r="C158" s="51" t="s">
        <v>313</v>
      </c>
      <c r="E158" s="106"/>
      <c r="J158" s="51" t="s">
        <v>532</v>
      </c>
      <c r="R158" s="51" t="s">
        <v>533</v>
      </c>
      <c r="Z158" s="51" t="s">
        <v>534</v>
      </c>
      <c r="AH158" s="51" t="s">
        <v>535</v>
      </c>
    </row>
    <row r="159" spans="3:40" x14ac:dyDescent="0.3">
      <c r="C159" s="20" t="str">
        <f>C$9</f>
        <v>Replacing old circulation pumps for domestic hot water transport</v>
      </c>
      <c r="D159" s="84" t="s">
        <v>536</v>
      </c>
      <c r="E159" s="42" t="e">
        <f>LOOKUP(E$39,'Model homes'!$C$203:$C$227,'Model homes'!$F$203:$F$227)*E151</f>
        <v>#N/A</v>
      </c>
      <c r="F159" s="42" t="e">
        <f>LOOKUP(F$39,'Model homes'!$C$203:$C$227,'Model homes'!$F$203:$F$227)*F151</f>
        <v>#N/A</v>
      </c>
      <c r="G159" s="42" t="e">
        <f>LOOKUP(G$39,'Model homes'!$C$203:$C$227,'Model homes'!$F$203:$F$227)*G151</f>
        <v>#N/A</v>
      </c>
      <c r="H159" s="42" t="e">
        <f>LOOKUP(H$39,'Model homes'!$C$203:$C$227,'Model homes'!$F$203:$F$227)*H151</f>
        <v>#N/A</v>
      </c>
      <c r="J159" s="213" t="s">
        <v>21</v>
      </c>
      <c r="L159" s="207" t="s">
        <v>536</v>
      </c>
      <c r="M159" s="159" t="e">
        <f>LOOKUP(E$39,'Model homes'!$C$351:$C$375,'Model homes'!$E$351:$E$375)*M151</f>
        <v>#DIV/0!</v>
      </c>
      <c r="N159" s="159" t="e">
        <f>LOOKUP(F$39,'Model homes'!$C$351:$C$375,'Model homes'!$E$351:$E$375)*N151</f>
        <v>#DIV/0!</v>
      </c>
      <c r="O159" s="159" t="e">
        <f>LOOKUP(G$39,'Model homes'!$C$351:$C$375,'Model homes'!$E$351:$E$375)*O151</f>
        <v>#DIV/0!</v>
      </c>
      <c r="P159" s="159" t="e">
        <f>LOOKUP(H$39,'Model homes'!$C$351:$C$375,'Model homes'!$E$351:$E$375)*P151</f>
        <v>#DIV/0!</v>
      </c>
      <c r="R159" s="213" t="s">
        <v>21</v>
      </c>
      <c r="T159" s="207" t="s">
        <v>536</v>
      </c>
      <c r="U159" s="159" t="e">
        <f>LOOKUP(E$39,'Model homes'!$C$351:$C$375,'Model homes'!$F$351:$F$375)*U151</f>
        <v>#DIV/0!</v>
      </c>
      <c r="V159" s="159" t="e">
        <f>LOOKUP(F$39,'Model homes'!$C$351:$C$375,'Model homes'!$F$351:$F$375)*V151</f>
        <v>#DIV/0!</v>
      </c>
      <c r="W159" s="159" t="e">
        <f>LOOKUP(G$39,'Model homes'!$C$351:$C$375,'Model homes'!$F$351:$F$375)*W151</f>
        <v>#DIV/0!</v>
      </c>
      <c r="X159" s="159" t="e">
        <f>LOOKUP(H$39,'Model homes'!$C$351:$C$375,'Model homes'!$F$351:$F$375)*X151</f>
        <v>#DIV/0!</v>
      </c>
      <c r="Z159" s="213" t="s">
        <v>21</v>
      </c>
      <c r="AB159" s="207" t="s">
        <v>536</v>
      </c>
      <c r="AC159" s="159" t="e">
        <f>LOOKUP(E$39,'Model homes'!$C$351:$C$375,'Model homes'!$G$351:$G$375)*AC151</f>
        <v>#DIV/0!</v>
      </c>
      <c r="AD159" s="159" t="e">
        <f>LOOKUP(F$39,'Model homes'!$C$351:$C$375,'Model homes'!$G$351:$G$375)*AD151</f>
        <v>#DIV/0!</v>
      </c>
      <c r="AE159" s="159" t="e">
        <f>LOOKUP(G$39,'Model homes'!$C$351:$C$375,'Model homes'!$G$351:$G$375)*AE151</f>
        <v>#DIV/0!</v>
      </c>
      <c r="AF159" s="159" t="e">
        <f>LOOKUP(H$39,'Model homes'!$C$351:$C$375,'Model homes'!$G$351:$G$375)*AF151</f>
        <v>#DIV/0!</v>
      </c>
      <c r="AH159" s="213" t="s">
        <v>21</v>
      </c>
      <c r="AJ159" s="207" t="s">
        <v>536</v>
      </c>
      <c r="AK159" s="159" t="e">
        <f>LOOKUP(E$39,'Model homes'!$C$351:$C$375,'Model homes'!$H$351:$H$375)*AK151</f>
        <v>#DIV/0!</v>
      </c>
      <c r="AL159" s="159" t="e">
        <f>LOOKUP(F$39,'Model homes'!$C$351:$C$375,'Model homes'!$H$351:$H$375)*AL151</f>
        <v>#DIV/0!</v>
      </c>
      <c r="AM159" s="159" t="e">
        <f>LOOKUP(G$39,'Model homes'!$C$351:$C$375,'Model homes'!$H$351:$H$375)*AM151</f>
        <v>#DIV/0!</v>
      </c>
      <c r="AN159" s="159" t="e">
        <f>LOOKUP(H$39,'Model homes'!$C$351:$C$375,'Model homes'!$H$351:$H$375)*AN151</f>
        <v>#DIV/0!</v>
      </c>
    </row>
    <row r="160" spans="3:40" x14ac:dyDescent="0.3">
      <c r="C160" s="20" t="str">
        <f>C$10</f>
        <v>Replacing old circulation pumps for space heat water transport</v>
      </c>
      <c r="D160" s="84" t="s">
        <v>536</v>
      </c>
      <c r="E160" s="42" t="e">
        <f>LOOKUP(E$52,'Model homes'!$C$203:$C$227,'Model homes'!$F$203:$F$227)*E152</f>
        <v>#N/A</v>
      </c>
      <c r="F160" s="42" t="e">
        <f>LOOKUP(F$52,'Model homes'!$C$203:$C$227,'Model homes'!$F$203:$F$227)*F152</f>
        <v>#N/A</v>
      </c>
      <c r="G160" s="42" t="e">
        <f>LOOKUP(G$52,'Model homes'!$C$203:$C$227,'Model homes'!$F$203:$F$227)*G152</f>
        <v>#N/A</v>
      </c>
      <c r="H160" s="42" t="e">
        <f>LOOKUP(H$52,'Model homes'!$C$203:$C$227,'Model homes'!$F$203:$F$227)*H152</f>
        <v>#N/A</v>
      </c>
      <c r="L160" s="207" t="s">
        <v>536</v>
      </c>
      <c r="M160" s="159" t="e">
        <f>LOOKUP(E$52,'Model homes'!$C$351:$C$375,'Model homes'!$E$351:$E$375)*M152</f>
        <v>#DIV/0!</v>
      </c>
      <c r="N160" s="159" t="e">
        <f>LOOKUP(F$52,'Model homes'!$C$351:$C$375,'Model homes'!$E$351:$E$375)*N152</f>
        <v>#DIV/0!</v>
      </c>
      <c r="O160" s="159" t="e">
        <f>LOOKUP(G$52,'Model homes'!$C$351:$C$375,'Model homes'!$E$351:$E$375)*O152</f>
        <v>#DIV/0!</v>
      </c>
      <c r="P160" s="159" t="e">
        <f>LOOKUP(H$52,'Model homes'!$C$351:$C$375,'Model homes'!$E$351:$E$375)*P152</f>
        <v>#DIV/0!</v>
      </c>
      <c r="R160" s="26"/>
      <c r="T160" s="207" t="s">
        <v>536</v>
      </c>
      <c r="U160" s="159" t="e">
        <f>LOOKUP(E$52,'Model homes'!$C$351:$C$375,'Model homes'!$F$351:$F$375)*U152</f>
        <v>#DIV/0!</v>
      </c>
      <c r="V160" s="159" t="e">
        <f>LOOKUP(F$52,'Model homes'!$C$351:$C$375,'Model homes'!$F$351:$F$375)*V152</f>
        <v>#DIV/0!</v>
      </c>
      <c r="W160" s="159" t="e">
        <f>LOOKUP(G$52,'Model homes'!$C$351:$C$375,'Model homes'!$F$351:$F$375)*W152</f>
        <v>#DIV/0!</v>
      </c>
      <c r="X160" s="159" t="e">
        <f>LOOKUP(H$52,'Model homes'!$C$351:$C$375,'Model homes'!$F$351:$F$375)*X152</f>
        <v>#DIV/0!</v>
      </c>
      <c r="AB160" s="207" t="s">
        <v>536</v>
      </c>
      <c r="AC160" s="159" t="e">
        <f>LOOKUP(E$52,'Model homes'!$C$351:$C$375,'Model homes'!$G$351:$G$375)*AC152</f>
        <v>#DIV/0!</v>
      </c>
      <c r="AD160" s="159" t="e">
        <f>LOOKUP(F$52,'Model homes'!$C$351:$C$375,'Model homes'!$G$351:$G$375)*AD152</f>
        <v>#DIV/0!</v>
      </c>
      <c r="AE160" s="159" t="e">
        <f>LOOKUP(G$52,'Model homes'!$C$351:$C$375,'Model homes'!$G$351:$G$375)*AE152</f>
        <v>#DIV/0!</v>
      </c>
      <c r="AF160" s="159" t="e">
        <f>LOOKUP(H$52,'Model homes'!$C$351:$C$375,'Model homes'!$G$351:$G$375)*AF152</f>
        <v>#DIV/0!</v>
      </c>
      <c r="AJ160" s="207" t="s">
        <v>536</v>
      </c>
      <c r="AK160" s="159" t="e">
        <f>LOOKUP(E$52,'Model homes'!$C$351:$C$375,'Model homes'!$H$351:$H$375)*AK152</f>
        <v>#DIV/0!</v>
      </c>
      <c r="AL160" s="159" t="e">
        <f>LOOKUP(F$52,'Model homes'!$C$351:$C$375,'Model homes'!$H$351:$H$375)*AL152</f>
        <v>#DIV/0!</v>
      </c>
      <c r="AM160" s="159" t="e">
        <f>LOOKUP(G$52,'Model homes'!$C$351:$C$375,'Model homes'!$H$351:$H$375)*AM152</f>
        <v>#DIV/0!</v>
      </c>
      <c r="AN160" s="159" t="e">
        <f>LOOKUP(H$52,'Model homes'!$C$351:$C$375,'Model homes'!$H$351:$H$375)*AN152</f>
        <v>#DIV/0!</v>
      </c>
    </row>
    <row r="161" spans="3:40" x14ac:dyDescent="0.3">
      <c r="C161" s="20" t="str">
        <f>C$11</f>
        <v>Replacing inefficient electricity devices - refrigerator</v>
      </c>
      <c r="D161" s="84" t="s">
        <v>536</v>
      </c>
      <c r="E161" s="42" t="e">
        <f>LOOKUP(E$67,'Model homes'!$C$203:$C$227,'Model homes'!$F$203:$F$227)*E153</f>
        <v>#N/A</v>
      </c>
      <c r="F161" s="42" t="e">
        <f>LOOKUP(F$67,'Model homes'!$C$203:$C$227,'Model homes'!$F$203:$F$227)*F153</f>
        <v>#N/A</v>
      </c>
      <c r="G161" s="42" t="e">
        <f>LOOKUP(G$67,'Model homes'!$C$203:$C$227,'Model homes'!$F$203:$F$227)*G153</f>
        <v>#N/A</v>
      </c>
      <c r="H161" s="42" t="e">
        <f>LOOKUP(H$67,'Model homes'!$C$203:$C$227,'Model homes'!$F$203:$F$227)*H153</f>
        <v>#N/A</v>
      </c>
      <c r="L161" s="207" t="s">
        <v>536</v>
      </c>
      <c r="M161" s="159" t="e">
        <f>LOOKUP(E$67,'Model homes'!$C$351:$C$375,'Model homes'!$E$351:$E$375)*M153</f>
        <v>#DIV/0!</v>
      </c>
      <c r="N161" s="159" t="e">
        <f>LOOKUP(F$67,'Model homes'!$C$351:$C$375,'Model homes'!$E$351:$E$375)*N153</f>
        <v>#DIV/0!</v>
      </c>
      <c r="O161" s="159" t="e">
        <f>LOOKUP(G$67,'Model homes'!$C$351:$C$375,'Model homes'!$E$351:$E$375)*O153</f>
        <v>#DIV/0!</v>
      </c>
      <c r="P161" s="159" t="e">
        <f>LOOKUP(H$67,'Model homes'!$C$351:$C$375,'Model homes'!$E$351:$E$375)*P153</f>
        <v>#DIV/0!</v>
      </c>
      <c r="R161" s="26"/>
      <c r="T161" s="207" t="s">
        <v>536</v>
      </c>
      <c r="U161" s="159" t="e">
        <f>LOOKUP(E$67,'Model homes'!$C$351:$C$375,'Model homes'!$F$351:$F$375)*U153</f>
        <v>#DIV/0!</v>
      </c>
      <c r="V161" s="159" t="e">
        <f>LOOKUP(F$67,'Model homes'!$C$351:$C$375,'Model homes'!$F$351:$F$375)*V153</f>
        <v>#DIV/0!</v>
      </c>
      <c r="W161" s="159" t="e">
        <f>LOOKUP(G$67,'Model homes'!$C$351:$C$375,'Model homes'!$F$351:$F$375)*W153</f>
        <v>#DIV/0!</v>
      </c>
      <c r="X161" s="159" t="e">
        <f>LOOKUP(H$67,'Model homes'!$C$351:$C$375,'Model homes'!$F$351:$F$375)*X153</f>
        <v>#DIV/0!</v>
      </c>
      <c r="AB161" s="207" t="s">
        <v>536</v>
      </c>
      <c r="AC161" s="159" t="e">
        <f>LOOKUP(E$67,'Model homes'!$C$351:$C$375,'Model homes'!$G$351:$G$375)*AC153</f>
        <v>#DIV/0!</v>
      </c>
      <c r="AD161" s="159" t="e">
        <f>LOOKUP(F$67,'Model homes'!$C$351:$C$375,'Model homes'!$G$351:$G$375)*AD153</f>
        <v>#DIV/0!</v>
      </c>
      <c r="AE161" s="159" t="e">
        <f>LOOKUP(G$67,'Model homes'!$C$351:$C$375,'Model homes'!$G$351:$G$375)*AE153</f>
        <v>#DIV/0!</v>
      </c>
      <c r="AF161" s="159" t="e">
        <f>LOOKUP(H$67,'Model homes'!$C$351:$C$375,'Model homes'!$G$351:$G$375)*AF153</f>
        <v>#DIV/0!</v>
      </c>
      <c r="AJ161" s="207" t="s">
        <v>536</v>
      </c>
      <c r="AK161" s="159" t="e">
        <f>LOOKUP(E$67,'Model homes'!$C$351:$C$375,'Model homes'!$H$351:$H$375)*AK153</f>
        <v>#DIV/0!</v>
      </c>
      <c r="AL161" s="159" t="e">
        <f>LOOKUP(F$67,'Model homes'!$C$351:$C$375,'Model homes'!$H$351:$H$375)*AL153</f>
        <v>#DIV/0!</v>
      </c>
      <c r="AM161" s="159" t="e">
        <f>LOOKUP(G$67,'Model homes'!$C$351:$C$375,'Model homes'!$H$351:$H$375)*AM153</f>
        <v>#DIV/0!</v>
      </c>
      <c r="AN161" s="159" t="e">
        <f>LOOKUP(H$67,'Model homes'!$C$351:$C$375,'Model homes'!$H$351:$H$375)*AN153</f>
        <v>#DIV/0!</v>
      </c>
    </row>
    <row r="162" spans="3:40" x14ac:dyDescent="0.3">
      <c r="C162" s="20" t="str">
        <f>C$12</f>
        <v>Replacing inefficient electricity devices - freezer</v>
      </c>
      <c r="D162" s="84" t="s">
        <v>536</v>
      </c>
      <c r="E162" s="42" t="e">
        <f>LOOKUP(E$82,'Model homes'!$C$203:$C$227,'Model homes'!$F$203:$F$227)*E154</f>
        <v>#N/A</v>
      </c>
      <c r="F162" s="42" t="e">
        <f>LOOKUP(F$82,'Model homes'!$C$203:$C$227,'Model homes'!$F$203:$F$227)*F154</f>
        <v>#N/A</v>
      </c>
      <c r="G162" s="42" t="e">
        <f>LOOKUP(G$82,'Model homes'!$C$203:$C$227,'Model homes'!$F$203:$F$227)*G154</f>
        <v>#N/A</v>
      </c>
      <c r="H162" s="42" t="e">
        <f>LOOKUP(H$82,'Model homes'!$C$203:$C$227,'Model homes'!$F$203:$F$227)*H154</f>
        <v>#N/A</v>
      </c>
      <c r="L162" s="207" t="s">
        <v>536</v>
      </c>
      <c r="M162" s="159" t="e">
        <f>LOOKUP(E$82,'Model homes'!$C$351:$C$375,'Model homes'!$E$351:$E$375)*M154</f>
        <v>#DIV/0!</v>
      </c>
      <c r="N162" s="159" t="e">
        <f>LOOKUP(F$82,'Model homes'!$C$351:$C$375,'Model homes'!$E$351:$E$375)*N154</f>
        <v>#DIV/0!</v>
      </c>
      <c r="O162" s="159" t="e">
        <f>LOOKUP(G$82,'Model homes'!$C$351:$C$375,'Model homes'!$E$351:$E$375)*O154</f>
        <v>#DIV/0!</v>
      </c>
      <c r="P162" s="159" t="e">
        <f>LOOKUP(H$82,'Model homes'!$C$351:$C$375,'Model homes'!$E$351:$E$375)*P154</f>
        <v>#DIV/0!</v>
      </c>
      <c r="T162" s="207" t="s">
        <v>536</v>
      </c>
      <c r="U162" s="159" t="e">
        <f>LOOKUP(E$82,'Model homes'!$C$351:$C$375,'Model homes'!$F$351:$F$375)*U154</f>
        <v>#DIV/0!</v>
      </c>
      <c r="V162" s="159" t="e">
        <f>LOOKUP(F$82,'Model homes'!$C$351:$C$375,'Model homes'!$F$351:$F$375)*V154</f>
        <v>#DIV/0!</v>
      </c>
      <c r="W162" s="159" t="e">
        <f>LOOKUP(G$82,'Model homes'!$C$351:$C$375,'Model homes'!$F$351:$F$375)*W154</f>
        <v>#DIV/0!</v>
      </c>
      <c r="X162" s="159" t="e">
        <f>LOOKUP(H$82,'Model homes'!$C$351:$C$375,'Model homes'!$F$351:$F$375)*X154</f>
        <v>#DIV/0!</v>
      </c>
      <c r="AB162" s="207" t="s">
        <v>536</v>
      </c>
      <c r="AC162" s="159" t="e">
        <f>LOOKUP(E$82,'Model homes'!$C$351:$C$375,'Model homes'!$G$351:$G$375)*AC154</f>
        <v>#DIV/0!</v>
      </c>
      <c r="AD162" s="159" t="e">
        <f>LOOKUP(F$82,'Model homes'!$C$351:$C$375,'Model homes'!$G$351:$G$375)*AD154</f>
        <v>#DIV/0!</v>
      </c>
      <c r="AE162" s="159" t="e">
        <f>LOOKUP(G$82,'Model homes'!$C$351:$C$375,'Model homes'!$G$351:$G$375)*AE154</f>
        <v>#DIV/0!</v>
      </c>
      <c r="AF162" s="159" t="e">
        <f>LOOKUP(H$82,'Model homes'!$C$351:$C$375,'Model homes'!$G$351:$G$375)*AF154</f>
        <v>#DIV/0!</v>
      </c>
      <c r="AJ162" s="207" t="s">
        <v>536</v>
      </c>
      <c r="AK162" s="159" t="e">
        <f>LOOKUP(E$82,'Model homes'!$C$351:$C$375,'Model homes'!$H$351:$H$375)*AK154</f>
        <v>#DIV/0!</v>
      </c>
      <c r="AL162" s="159" t="e">
        <f>LOOKUP(F$82,'Model homes'!$C$351:$C$375,'Model homes'!$H$351:$H$375)*AL154</f>
        <v>#DIV/0!</v>
      </c>
      <c r="AM162" s="159" t="e">
        <f>LOOKUP(G$82,'Model homes'!$C$351:$C$375,'Model homes'!$H$351:$H$375)*AM154</f>
        <v>#DIV/0!</v>
      </c>
      <c r="AN162" s="159" t="e">
        <f>LOOKUP(H$82,'Model homes'!$C$351:$C$375,'Model homes'!$H$351:$H$375)*AN154</f>
        <v>#DIV/0!</v>
      </c>
    </row>
    <row r="163" spans="3:40" x14ac:dyDescent="0.3">
      <c r="C163" s="20" t="str">
        <f>C$13</f>
        <v>Replacing inefficient electricity devices - washing machine</v>
      </c>
      <c r="D163" s="84" t="s">
        <v>536</v>
      </c>
      <c r="E163" s="42" t="e">
        <f>LOOKUP(E$97,'Model homes'!$C$203:$C$227,'Model homes'!$F$203:$F$227)*E155</f>
        <v>#N/A</v>
      </c>
      <c r="F163" s="42" t="e">
        <f>LOOKUP(F$97,'Model homes'!$C$203:$C$227,'Model homes'!$F$203:$F$227)*F155</f>
        <v>#N/A</v>
      </c>
      <c r="G163" s="42" t="e">
        <f>LOOKUP(G$97,'Model homes'!$C$203:$C$227,'Model homes'!$F$203:$F$227)*G155</f>
        <v>#N/A</v>
      </c>
      <c r="H163" s="42" t="e">
        <f>LOOKUP(H$97,'Model homes'!$C$203:$C$227,'Model homes'!$F$203:$F$227)*H155</f>
        <v>#N/A</v>
      </c>
      <c r="L163" s="207" t="s">
        <v>536</v>
      </c>
      <c r="M163" s="159" t="e">
        <f>LOOKUP(E$97,'Model homes'!$C$351:$C$375,'Model homes'!$E$351:$E$375)*M155</f>
        <v>#DIV/0!</v>
      </c>
      <c r="N163" s="159" t="e">
        <f>LOOKUP(F$97,'Model homes'!$C$351:$C$375,'Model homes'!$E$351:$E$375)*N155</f>
        <v>#DIV/0!</v>
      </c>
      <c r="O163" s="159" t="e">
        <f>LOOKUP(G$97,'Model homes'!$C$351:$C$375,'Model homes'!$E$351:$E$375)*O155</f>
        <v>#DIV/0!</v>
      </c>
      <c r="P163" s="159" t="e">
        <f>LOOKUP(H$97,'Model homes'!$C$351:$C$375,'Model homes'!$E$351:$E$375)*P155</f>
        <v>#DIV/0!</v>
      </c>
      <c r="T163" s="207" t="s">
        <v>536</v>
      </c>
      <c r="U163" s="159" t="e">
        <f>LOOKUP(E$97,'Model homes'!$C$351:$C$375,'Model homes'!$F$351:$F$375)*U155</f>
        <v>#DIV/0!</v>
      </c>
      <c r="V163" s="159" t="e">
        <f>LOOKUP(F$97,'Model homes'!$C$351:$C$375,'Model homes'!$F$351:$F$375)*V155</f>
        <v>#DIV/0!</v>
      </c>
      <c r="W163" s="159" t="e">
        <f>LOOKUP(G$97,'Model homes'!$C$351:$C$375,'Model homes'!$F$351:$F$375)*W155</f>
        <v>#DIV/0!</v>
      </c>
      <c r="X163" s="159" t="e">
        <f>LOOKUP(H$97,'Model homes'!$C$351:$C$375,'Model homes'!$F$351:$F$375)*X155</f>
        <v>#DIV/0!</v>
      </c>
      <c r="AB163" s="207" t="s">
        <v>536</v>
      </c>
      <c r="AC163" s="159" t="e">
        <f>LOOKUP(E$97,'Model homes'!$C$351:$C$375,'Model homes'!$G$351:$G$375)*AC155</f>
        <v>#DIV/0!</v>
      </c>
      <c r="AD163" s="159" t="e">
        <f>LOOKUP(F$97,'Model homes'!$C$351:$C$375,'Model homes'!$G$351:$G$375)*AD155</f>
        <v>#DIV/0!</v>
      </c>
      <c r="AE163" s="159" t="e">
        <f>LOOKUP(G$97,'Model homes'!$C$351:$C$375,'Model homes'!$G$351:$G$375)*AE155</f>
        <v>#DIV/0!</v>
      </c>
      <c r="AF163" s="159" t="e">
        <f>LOOKUP(H$97,'Model homes'!$C$351:$C$375,'Model homes'!$G$351:$G$375)*AF155</f>
        <v>#DIV/0!</v>
      </c>
      <c r="AJ163" s="207" t="s">
        <v>536</v>
      </c>
      <c r="AK163" s="159" t="e">
        <f>LOOKUP(E$97,'Model homes'!$C$351:$C$375,'Model homes'!$H$351:$H$375)*AK155</f>
        <v>#DIV/0!</v>
      </c>
      <c r="AL163" s="159" t="e">
        <f>LOOKUP(F$97,'Model homes'!$C$351:$C$375,'Model homes'!$H$351:$H$375)*AL155</f>
        <v>#DIV/0!</v>
      </c>
      <c r="AM163" s="159" t="e">
        <f>LOOKUP(G$97,'Model homes'!$C$351:$C$375,'Model homes'!$H$351:$H$375)*AM155</f>
        <v>#DIV/0!</v>
      </c>
      <c r="AN163" s="159" t="e">
        <f>LOOKUP(H$97,'Model homes'!$C$351:$C$375,'Model homes'!$H$351:$H$375)*AN155</f>
        <v>#DIV/0!</v>
      </c>
    </row>
    <row r="164" spans="3:40" x14ac:dyDescent="0.3">
      <c r="C164" s="20" t="str">
        <f>C$14</f>
        <v>Replacing inefficient electricity devices - dish washer</v>
      </c>
      <c r="D164" s="84" t="s">
        <v>536</v>
      </c>
      <c r="E164" s="42" t="e">
        <f>LOOKUP(E$112,'Model homes'!$C$203:$C$227,'Model homes'!$F$203:$F$227)*E156</f>
        <v>#N/A</v>
      </c>
      <c r="F164" s="42" t="e">
        <f>LOOKUP(F$112,'Model homes'!$C$203:$C$227,'Model homes'!$F$203:$F$227)*F156</f>
        <v>#N/A</v>
      </c>
      <c r="G164" s="42" t="e">
        <f>LOOKUP(G$112,'Model homes'!$C$203:$C$227,'Model homes'!$F$203:$F$227)*G156</f>
        <v>#N/A</v>
      </c>
      <c r="H164" s="42" t="e">
        <f>LOOKUP(H$112,'Model homes'!$C$203:$C$227,'Model homes'!$F$203:$F$227)*H156</f>
        <v>#N/A</v>
      </c>
      <c r="L164" s="207" t="s">
        <v>536</v>
      </c>
      <c r="M164" s="159" t="e">
        <f>LOOKUP(E$112,'Model homes'!$C$351:$C$375,'Model homes'!$E$351:$E$375)*M156</f>
        <v>#DIV/0!</v>
      </c>
      <c r="N164" s="159" t="e">
        <f>LOOKUP(F$112,'Model homes'!$C$351:$C$375,'Model homes'!$E$351:$E$375)*N156</f>
        <v>#DIV/0!</v>
      </c>
      <c r="O164" s="159" t="e">
        <f>LOOKUP(G$112,'Model homes'!$C$351:$C$375,'Model homes'!$E$351:$E$375)*O156</f>
        <v>#DIV/0!</v>
      </c>
      <c r="P164" s="159" t="e">
        <f>LOOKUP(H$112,'Model homes'!$C$351:$C$375,'Model homes'!$E$351:$E$375)*P156</f>
        <v>#DIV/0!</v>
      </c>
      <c r="T164" s="207" t="s">
        <v>536</v>
      </c>
      <c r="U164" s="159" t="e">
        <f>LOOKUP(E$112,'Model homes'!$C$351:$C$375,'Model homes'!$F$351:$F$375)*U156</f>
        <v>#DIV/0!</v>
      </c>
      <c r="V164" s="159" t="e">
        <f>LOOKUP(F$112,'Model homes'!$C$351:$C$375,'Model homes'!$F$351:$F$375)*V156</f>
        <v>#DIV/0!</v>
      </c>
      <c r="W164" s="159" t="e">
        <f>LOOKUP(G$112,'Model homes'!$C$351:$C$375,'Model homes'!$F$351:$F$375)*W156</f>
        <v>#DIV/0!</v>
      </c>
      <c r="X164" s="159" t="e">
        <f>LOOKUP(H$112,'Model homes'!$C$351:$C$375,'Model homes'!$F$351:$F$375)*X156</f>
        <v>#DIV/0!</v>
      </c>
      <c r="AB164" s="207" t="s">
        <v>536</v>
      </c>
      <c r="AC164" s="159" t="e">
        <f>LOOKUP(E$112,'Model homes'!$C$351:$C$375,'Model homes'!$G$351:$G$375)*AC156</f>
        <v>#DIV/0!</v>
      </c>
      <c r="AD164" s="159" t="e">
        <f>LOOKUP(F$112,'Model homes'!$C$351:$C$375,'Model homes'!$G$351:$G$375)*AD156</f>
        <v>#DIV/0!</v>
      </c>
      <c r="AE164" s="159" t="e">
        <f>LOOKUP(G$112,'Model homes'!$C$351:$C$375,'Model homes'!$G$351:$G$375)*AE156</f>
        <v>#DIV/0!</v>
      </c>
      <c r="AF164" s="159" t="e">
        <f>LOOKUP(H$112,'Model homes'!$C$351:$C$375,'Model homes'!$G$351:$G$375)*AF156</f>
        <v>#DIV/0!</v>
      </c>
      <c r="AJ164" s="207" t="s">
        <v>536</v>
      </c>
      <c r="AK164" s="159" t="e">
        <f>LOOKUP(E$112,'Model homes'!$C$351:$C$375,'Model homes'!$H$351:$H$375)*AK156</f>
        <v>#DIV/0!</v>
      </c>
      <c r="AL164" s="159" t="e">
        <f>LOOKUP(F$112,'Model homes'!$C$351:$C$375,'Model homes'!$H$351:$H$375)*AL156</f>
        <v>#DIV/0!</v>
      </c>
      <c r="AM164" s="159" t="e">
        <f>LOOKUP(G$112,'Model homes'!$C$351:$C$375,'Model homes'!$H$351:$H$375)*AM156</f>
        <v>#DIV/0!</v>
      </c>
      <c r="AN164" s="159" t="e">
        <f>LOOKUP(H$112,'Model homes'!$C$351:$C$375,'Model homes'!$H$351:$H$375)*AN156</f>
        <v>#DIV/0!</v>
      </c>
    </row>
    <row r="165" spans="3:40" x14ac:dyDescent="0.3">
      <c r="C165" s="36"/>
      <c r="D165" s="96"/>
      <c r="E165" s="55"/>
      <c r="F165" s="55"/>
      <c r="G165" s="55"/>
      <c r="H165" s="55"/>
      <c r="R165" s="42"/>
      <c r="S165" s="99"/>
    </row>
    <row r="166" spans="3:40" x14ac:dyDescent="0.3">
      <c r="C166" s="195" t="s">
        <v>303</v>
      </c>
      <c r="D166" s="17" t="s">
        <v>301</v>
      </c>
      <c r="E166" s="231">
        <f>'Model homes'!E$170</f>
        <v>0.03</v>
      </c>
    </row>
    <row r="167" spans="3:40" x14ac:dyDescent="0.3">
      <c r="J167" s="26"/>
    </row>
    <row r="168" spans="3:40" x14ac:dyDescent="0.3">
      <c r="C168" s="51" t="s">
        <v>537</v>
      </c>
      <c r="E168" s="209"/>
      <c r="J168" s="229" t="s">
        <v>538</v>
      </c>
    </row>
    <row r="169" spans="3:40" x14ac:dyDescent="0.3">
      <c r="C169" s="20" t="str">
        <f>C$9</f>
        <v>Replacing old circulation pumps for domestic hot water transport</v>
      </c>
      <c r="D169" s="207" t="s">
        <v>536</v>
      </c>
      <c r="E169" s="159" t="e">
        <f>M159+U159+AC159+AK159</f>
        <v>#DIV/0!</v>
      </c>
      <c r="F169" s="159" t="e">
        <f t="shared" ref="F169:H169" si="78">N159+V159+AD159+AL159</f>
        <v>#DIV/0!</v>
      </c>
      <c r="G169" s="159" t="e">
        <f t="shared" si="78"/>
        <v>#DIV/0!</v>
      </c>
      <c r="H169" s="159" t="e">
        <f t="shared" si="78"/>
        <v>#DIV/0!</v>
      </c>
      <c r="J169" s="230">
        <f>(1-(((1+'Model homes'!$E$166)/(1+E$38))^E$39))/(E$38-'Model homes'!$E$166)</f>
        <v>13.054095919925354</v>
      </c>
    </row>
    <row r="170" spans="3:40" x14ac:dyDescent="0.3">
      <c r="C170" s="20" t="str">
        <f>C$10</f>
        <v>Replacing old circulation pumps for space heat water transport</v>
      </c>
      <c r="D170" s="207" t="s">
        <v>536</v>
      </c>
      <c r="E170" s="159" t="e">
        <f t="shared" ref="E170:E174" si="79">M160+U160+AC160+AK160</f>
        <v>#DIV/0!</v>
      </c>
      <c r="F170" s="159" t="e">
        <f t="shared" ref="F170:F174" si="80">N160+V160+AD160+AL160</f>
        <v>#DIV/0!</v>
      </c>
      <c r="G170" s="159" t="e">
        <f t="shared" ref="G170:G174" si="81">O160+W160+AE160+AM160</f>
        <v>#DIV/0!</v>
      </c>
      <c r="H170" s="159" t="e">
        <f t="shared" ref="H170:H174" si="82">P160+X160+AF160+AN160</f>
        <v>#DIV/0!</v>
      </c>
      <c r="J170" s="230">
        <f>(1-(((1+'Model homes'!$E$166)/(1+E$51))^E$52))/(E$51-'Model homes'!$E$166)</f>
        <v>13.054095919925354</v>
      </c>
    </row>
    <row r="171" spans="3:40" x14ac:dyDescent="0.3">
      <c r="C171" s="20" t="str">
        <f>C$11</f>
        <v>Replacing inefficient electricity devices - refrigerator</v>
      </c>
      <c r="D171" s="207" t="s">
        <v>536</v>
      </c>
      <c r="E171" s="159" t="e">
        <f t="shared" si="79"/>
        <v>#DIV/0!</v>
      </c>
      <c r="F171" s="159" t="e">
        <f t="shared" si="80"/>
        <v>#DIV/0!</v>
      </c>
      <c r="G171" s="159" t="e">
        <f t="shared" si="81"/>
        <v>#DIV/0!</v>
      </c>
      <c r="H171" s="159" t="e">
        <f t="shared" si="82"/>
        <v>#DIV/0!</v>
      </c>
      <c r="J171" s="230">
        <f>(1-(((1+'Model homes'!$E$166)/(1+E$66))^E$67))/(E$66-'Model homes'!$E$166)</f>
        <v>10.665760557504042</v>
      </c>
    </row>
    <row r="172" spans="3:40" x14ac:dyDescent="0.3">
      <c r="C172" s="20" t="str">
        <f>C$12</f>
        <v>Replacing inefficient electricity devices - freezer</v>
      </c>
      <c r="D172" s="207" t="s">
        <v>536</v>
      </c>
      <c r="E172" s="159" t="e">
        <f t="shared" si="79"/>
        <v>#DIV/0!</v>
      </c>
      <c r="F172" s="159" t="e">
        <f t="shared" si="80"/>
        <v>#DIV/0!</v>
      </c>
      <c r="G172" s="159" t="e">
        <f t="shared" si="81"/>
        <v>#DIV/0!</v>
      </c>
      <c r="H172" s="159" t="e">
        <f t="shared" si="82"/>
        <v>#DIV/0!</v>
      </c>
      <c r="J172" s="230">
        <f>(1-(((1+'Model homes'!$E$166)/(1+E$81))^E$82))/(E$81-'Model homes'!$E$166)</f>
        <v>13.054095919925354</v>
      </c>
    </row>
    <row r="173" spans="3:40" x14ac:dyDescent="0.3">
      <c r="C173" s="20" t="str">
        <f>C$13</f>
        <v>Replacing inefficient electricity devices - washing machine</v>
      </c>
      <c r="D173" s="207" t="s">
        <v>536</v>
      </c>
      <c r="E173" s="159" t="e">
        <f t="shared" si="79"/>
        <v>#DIV/0!</v>
      </c>
      <c r="F173" s="159" t="e">
        <f t="shared" si="80"/>
        <v>#DIV/0!</v>
      </c>
      <c r="G173" s="159" t="e">
        <f t="shared" si="81"/>
        <v>#DIV/0!</v>
      </c>
      <c r="H173" s="159" t="e">
        <f t="shared" si="82"/>
        <v>#DIV/0!</v>
      </c>
      <c r="J173" s="230">
        <f>(1-(((1+'Model homes'!$E$166)/(1+E$96))^E$97))/(E$96-'Model homes'!$E$166)</f>
        <v>10.665760557504042</v>
      </c>
    </row>
    <row r="174" spans="3:40" x14ac:dyDescent="0.3">
      <c r="C174" s="20" t="str">
        <f>C$14</f>
        <v>Replacing inefficient electricity devices - dish washer</v>
      </c>
      <c r="D174" s="207" t="s">
        <v>536</v>
      </c>
      <c r="E174" s="159" t="e">
        <f t="shared" si="79"/>
        <v>#DIV/0!</v>
      </c>
      <c r="F174" s="159" t="e">
        <f t="shared" si="80"/>
        <v>#DIV/0!</v>
      </c>
      <c r="G174" s="159" t="e">
        <f t="shared" si="81"/>
        <v>#DIV/0!</v>
      </c>
      <c r="H174" s="159" t="e">
        <f t="shared" si="82"/>
        <v>#DIV/0!</v>
      </c>
      <c r="J174" s="230">
        <f>(1-(((1+'Model homes'!$E$166)/(1+E$111))^E$112))/(E$111-'Model homes'!$E$166)</f>
        <v>10.665760557504042</v>
      </c>
    </row>
    <row r="175" spans="3:40" x14ac:dyDescent="0.3">
      <c r="C175" s="36"/>
      <c r="D175" s="96"/>
      <c r="E175" s="55"/>
      <c r="F175" s="55"/>
      <c r="G175" s="55"/>
      <c r="H175" s="55"/>
      <c r="R175" s="42"/>
      <c r="S175" s="99"/>
    </row>
    <row r="176" spans="3:40" ht="20.25" x14ac:dyDescent="0.35">
      <c r="C176" s="81" t="s">
        <v>896</v>
      </c>
    </row>
    <row r="177" spans="2:14" s="18" customFormat="1" ht="17.25" thickBot="1" x14ac:dyDescent="0.35">
      <c r="B177" s="19" t="s">
        <v>153</v>
      </c>
      <c r="C177" s="19" t="s">
        <v>154</v>
      </c>
      <c r="D177" s="19" t="s">
        <v>32</v>
      </c>
      <c r="E177" s="19" t="s">
        <v>155</v>
      </c>
      <c r="F177" s="19"/>
      <c r="G177" s="19" t="s">
        <v>155</v>
      </c>
      <c r="H177" s="19"/>
      <c r="I177" s="19"/>
      <c r="J177" s="56" t="s">
        <v>156</v>
      </c>
      <c r="K177" s="56"/>
    </row>
    <row r="178" spans="2:14" s="30" customFormat="1" ht="18" thickTop="1" thickBot="1" x14ac:dyDescent="0.35">
      <c r="B178" s="28"/>
      <c r="C178" s="29" t="s">
        <v>157</v>
      </c>
      <c r="D178" s="29"/>
      <c r="E178" s="335" t="s">
        <v>5</v>
      </c>
      <c r="F178" s="335"/>
      <c r="G178" s="335" t="s">
        <v>6</v>
      </c>
      <c r="H178" s="335"/>
      <c r="I178" s="28"/>
      <c r="J178" s="28"/>
      <c r="K178" s="57"/>
      <c r="M178" s="20"/>
    </row>
    <row r="179" spans="2:14" ht="18" thickTop="1" thickBot="1" x14ac:dyDescent="0.35">
      <c r="B179" s="19"/>
      <c r="C179" s="29" t="s">
        <v>158</v>
      </c>
      <c r="D179" s="29"/>
      <c r="E179" s="29" t="s">
        <v>7</v>
      </c>
      <c r="F179" s="29" t="s">
        <v>8</v>
      </c>
      <c r="G179" s="29" t="s">
        <v>7</v>
      </c>
      <c r="H179" s="29" t="s">
        <v>8</v>
      </c>
      <c r="I179" s="19"/>
      <c r="J179" s="19"/>
      <c r="K179" s="56"/>
      <c r="M179" s="82"/>
      <c r="N179" s="82"/>
    </row>
    <row r="180" spans="2:14" ht="17.25" thickTop="1" x14ac:dyDescent="0.3">
      <c r="C180" s="20" t="str">
        <f>C$9</f>
        <v>Replacing old circulation pumps for domestic hot water transport</v>
      </c>
      <c r="D180" s="20" t="s">
        <v>540</v>
      </c>
      <c r="E180" s="25">
        <f>'Campaign Input'!$G$12*'Data Input'!B$9</f>
        <v>0</v>
      </c>
      <c r="F180" s="25">
        <f>'Campaign Input'!$G$12*'Data Input'!C$9</f>
        <v>0</v>
      </c>
      <c r="G180" s="25">
        <f>'Campaign Input'!$G$12*'Data Input'!D$9</f>
        <v>0</v>
      </c>
      <c r="H180" s="25">
        <f>'Campaign Input'!$G$12*'Data Input'!E$9</f>
        <v>0</v>
      </c>
    </row>
    <row r="181" spans="2:14" x14ac:dyDescent="0.3">
      <c r="C181" s="20" t="str">
        <f>C$10</f>
        <v>Replacing old circulation pumps for space heat water transport</v>
      </c>
      <c r="D181" s="20" t="s">
        <v>540</v>
      </c>
      <c r="E181" s="25">
        <f>'Campaign Input'!$G$12*'Data Input'!B$9</f>
        <v>0</v>
      </c>
      <c r="F181" s="25">
        <f>'Campaign Input'!$G$12*'Data Input'!C$9</f>
        <v>0</v>
      </c>
      <c r="G181" s="25">
        <f>'Campaign Input'!$G$12*'Data Input'!D$9</f>
        <v>0</v>
      </c>
      <c r="H181" s="25">
        <f>'Campaign Input'!$G$12*'Data Input'!E$9</f>
        <v>0</v>
      </c>
    </row>
    <row r="182" spans="2:14" x14ac:dyDescent="0.3">
      <c r="C182" s="20" t="str">
        <f>C$11</f>
        <v>Replacing inefficient electricity devices - refrigerator</v>
      </c>
      <c r="D182" s="20" t="s">
        <v>540</v>
      </c>
      <c r="E182" s="25">
        <f>'Campaign Input'!$G$12*'Data Input'!B$9</f>
        <v>0</v>
      </c>
      <c r="F182" s="25">
        <f>'Campaign Input'!$G$12*'Data Input'!C$9</f>
        <v>0</v>
      </c>
      <c r="G182" s="25">
        <f>'Campaign Input'!$G$12*'Data Input'!D$9</f>
        <v>0</v>
      </c>
      <c r="H182" s="25">
        <f>'Campaign Input'!$G$12*'Data Input'!E$9</f>
        <v>0</v>
      </c>
    </row>
    <row r="183" spans="2:14" x14ac:dyDescent="0.3">
      <c r="C183" s="20" t="str">
        <f>C$12</f>
        <v>Replacing inefficient electricity devices - freezer</v>
      </c>
      <c r="D183" s="20" t="s">
        <v>540</v>
      </c>
      <c r="E183" s="25">
        <f>'Campaign Input'!$G$12*'Data Input'!B$9</f>
        <v>0</v>
      </c>
      <c r="F183" s="25">
        <f>'Campaign Input'!$G$12*'Data Input'!C$9</f>
        <v>0</v>
      </c>
      <c r="G183" s="25">
        <f>'Campaign Input'!$G$12*'Data Input'!D$9</f>
        <v>0</v>
      </c>
      <c r="H183" s="25">
        <f>'Campaign Input'!$G$12*'Data Input'!E$9</f>
        <v>0</v>
      </c>
    </row>
    <row r="184" spans="2:14" x14ac:dyDescent="0.3">
      <c r="C184" s="20" t="str">
        <f>C$13</f>
        <v>Replacing inefficient electricity devices - washing machine</v>
      </c>
      <c r="D184" s="20" t="s">
        <v>540</v>
      </c>
      <c r="E184" s="25">
        <f>'Campaign Input'!$G$12*'Data Input'!B$9</f>
        <v>0</v>
      </c>
      <c r="F184" s="25">
        <f>'Campaign Input'!$G$12*'Data Input'!C$9</f>
        <v>0</v>
      </c>
      <c r="G184" s="25">
        <f>'Campaign Input'!$G$12*'Data Input'!D$9</f>
        <v>0</v>
      </c>
      <c r="H184" s="25">
        <f>'Campaign Input'!$G$12*'Data Input'!E$9</f>
        <v>0</v>
      </c>
    </row>
    <row r="185" spans="2:14" x14ac:dyDescent="0.3">
      <c r="C185" s="20" t="str">
        <f>C$14</f>
        <v>Replacing inefficient electricity devices - dish washer</v>
      </c>
      <c r="D185" s="20" t="s">
        <v>540</v>
      </c>
      <c r="E185" s="25">
        <f>'Campaign Input'!$G$12*'Data Input'!B$9</f>
        <v>0</v>
      </c>
      <c r="F185" s="25">
        <f>'Campaign Input'!$G$12*'Data Input'!C$9</f>
        <v>0</v>
      </c>
      <c r="G185" s="25">
        <f>'Campaign Input'!$G$12*'Data Input'!D$9</f>
        <v>0</v>
      </c>
      <c r="H185" s="25">
        <f>'Campaign Input'!$G$12*'Data Input'!E$9</f>
        <v>0</v>
      </c>
    </row>
    <row r="187" spans="2:14" x14ac:dyDescent="0.3">
      <c r="C187" s="51" t="s">
        <v>897</v>
      </c>
      <c r="D187" s="207"/>
      <c r="E187" s="208"/>
    </row>
    <row r="188" spans="2:14" x14ac:dyDescent="0.3">
      <c r="C188" s="20" t="str">
        <f>C$9</f>
        <v>Replacing old circulation pumps for domestic hot water transport</v>
      </c>
      <c r="D188" s="210" t="s">
        <v>69</v>
      </c>
      <c r="E188" s="42">
        <f>E$33*E180</f>
        <v>0</v>
      </c>
      <c r="F188" s="42">
        <f t="shared" ref="F188:H188" si="83">F$33*F180</f>
        <v>0</v>
      </c>
      <c r="G188" s="42">
        <f t="shared" si="83"/>
        <v>0</v>
      </c>
      <c r="H188" s="42">
        <f t="shared" si="83"/>
        <v>0</v>
      </c>
      <c r="J188" s="45">
        <f>SUM(E188:H188)</f>
        <v>0</v>
      </c>
    </row>
    <row r="189" spans="2:14" x14ac:dyDescent="0.3">
      <c r="C189" s="20" t="str">
        <f>C$10</f>
        <v>Replacing old circulation pumps for space heat water transport</v>
      </c>
      <c r="D189" s="210" t="s">
        <v>69</v>
      </c>
      <c r="E189" s="42">
        <f>E$46*E181</f>
        <v>0</v>
      </c>
      <c r="F189" s="42">
        <f t="shared" ref="F189:H189" si="84">F$46*F181</f>
        <v>0</v>
      </c>
      <c r="G189" s="42">
        <f t="shared" si="84"/>
        <v>0</v>
      </c>
      <c r="H189" s="42">
        <f t="shared" si="84"/>
        <v>0</v>
      </c>
      <c r="J189" s="45">
        <f t="shared" ref="J189:J193" si="85">SUM(E189:H189)</f>
        <v>0</v>
      </c>
    </row>
    <row r="190" spans="2:14" x14ac:dyDescent="0.3">
      <c r="C190" s="20" t="str">
        <f>C$11</f>
        <v>Replacing inefficient electricity devices - refrigerator</v>
      </c>
      <c r="D190" s="210" t="s">
        <v>69</v>
      </c>
      <c r="E190" s="42">
        <f>E$61*E182</f>
        <v>0</v>
      </c>
      <c r="F190" s="42">
        <f t="shared" ref="F190:H190" si="86">F$61*F182</f>
        <v>0</v>
      </c>
      <c r="G190" s="42">
        <f t="shared" si="86"/>
        <v>0</v>
      </c>
      <c r="H190" s="42">
        <f t="shared" si="86"/>
        <v>0</v>
      </c>
      <c r="J190" s="45">
        <f t="shared" si="85"/>
        <v>0</v>
      </c>
    </row>
    <row r="191" spans="2:14" x14ac:dyDescent="0.3">
      <c r="C191" s="20" t="str">
        <f>C$12</f>
        <v>Replacing inefficient electricity devices - freezer</v>
      </c>
      <c r="D191" s="210" t="s">
        <v>69</v>
      </c>
      <c r="E191" s="42">
        <f>E$76*E183</f>
        <v>0</v>
      </c>
      <c r="F191" s="42">
        <f t="shared" ref="F191:H191" si="87">F$76*F183</f>
        <v>0</v>
      </c>
      <c r="G191" s="42">
        <f t="shared" si="87"/>
        <v>0</v>
      </c>
      <c r="H191" s="42">
        <f t="shared" si="87"/>
        <v>0</v>
      </c>
      <c r="J191" s="45">
        <f t="shared" si="85"/>
        <v>0</v>
      </c>
    </row>
    <row r="192" spans="2:14" x14ac:dyDescent="0.3">
      <c r="C192" s="20" t="str">
        <f>C$13</f>
        <v>Replacing inefficient electricity devices - washing machine</v>
      </c>
      <c r="D192" s="210" t="s">
        <v>69</v>
      </c>
      <c r="E192" s="42">
        <f>E$91*E184</f>
        <v>0</v>
      </c>
      <c r="F192" s="42">
        <f t="shared" ref="F192:H192" si="88">F$91*F184</f>
        <v>0</v>
      </c>
      <c r="G192" s="42">
        <f t="shared" si="88"/>
        <v>0</v>
      </c>
      <c r="H192" s="42">
        <f t="shared" si="88"/>
        <v>0</v>
      </c>
      <c r="J192" s="45">
        <f t="shared" si="85"/>
        <v>0</v>
      </c>
    </row>
    <row r="193" spans="3:10" x14ac:dyDescent="0.3">
      <c r="C193" s="20" t="str">
        <f>C$14</f>
        <v>Replacing inefficient electricity devices - dish washer</v>
      </c>
      <c r="D193" s="210" t="s">
        <v>69</v>
      </c>
      <c r="E193" s="42">
        <f>E$106*E185</f>
        <v>0</v>
      </c>
      <c r="F193" s="42">
        <f t="shared" ref="F193:H193" si="89">F$106*F185</f>
        <v>0</v>
      </c>
      <c r="G193" s="42">
        <f t="shared" si="89"/>
        <v>0</v>
      </c>
      <c r="H193" s="42">
        <f t="shared" si="89"/>
        <v>0</v>
      </c>
      <c r="J193" s="45">
        <f t="shared" si="85"/>
        <v>0</v>
      </c>
    </row>
    <row r="194" spans="3:10" x14ac:dyDescent="0.3">
      <c r="C194" s="235"/>
      <c r="D194" s="210"/>
      <c r="E194" s="55"/>
      <c r="F194" s="55"/>
      <c r="G194" s="55"/>
      <c r="H194" s="55"/>
    </row>
    <row r="195" spans="3:10" x14ac:dyDescent="0.3">
      <c r="C195" s="51" t="s">
        <v>541</v>
      </c>
      <c r="D195" s="84"/>
      <c r="E195" s="91"/>
    </row>
    <row r="196" spans="3:10" x14ac:dyDescent="0.3">
      <c r="C196" s="20" t="str">
        <f>C$9</f>
        <v>Replacing old circulation pumps for domestic hot water transport</v>
      </c>
      <c r="D196" s="15" t="s">
        <v>542</v>
      </c>
      <c r="E196" s="42">
        <f>E180*E17*E$39</f>
        <v>0</v>
      </c>
      <c r="F196" s="42">
        <f t="shared" ref="F196:H196" si="90">F180*F17*F$39</f>
        <v>0</v>
      </c>
      <c r="G196" s="42">
        <f t="shared" si="90"/>
        <v>0</v>
      </c>
      <c r="H196" s="42">
        <f t="shared" si="90"/>
        <v>0</v>
      </c>
      <c r="J196" s="45">
        <f>SUM(E196:H196)</f>
        <v>0</v>
      </c>
    </row>
    <row r="197" spans="3:10" x14ac:dyDescent="0.3">
      <c r="C197" s="20" t="str">
        <f>C$10</f>
        <v>Replacing old circulation pumps for space heat water transport</v>
      </c>
      <c r="D197" s="15" t="s">
        <v>542</v>
      </c>
      <c r="E197" s="42">
        <f>E181*E18*E52</f>
        <v>0</v>
      </c>
      <c r="F197" s="42">
        <f t="shared" ref="F197:H197" si="91">F181*F18*F52</f>
        <v>0</v>
      </c>
      <c r="G197" s="42">
        <f t="shared" si="91"/>
        <v>0</v>
      </c>
      <c r="H197" s="42">
        <f t="shared" si="91"/>
        <v>0</v>
      </c>
      <c r="J197" s="45">
        <f t="shared" ref="J197:J201" si="92">SUM(E197:H197)</f>
        <v>0</v>
      </c>
    </row>
    <row r="198" spans="3:10" x14ac:dyDescent="0.3">
      <c r="C198" s="20" t="str">
        <f>C$11</f>
        <v>Replacing inefficient electricity devices - refrigerator</v>
      </c>
      <c r="D198" s="15" t="s">
        <v>542</v>
      </c>
      <c r="E198" s="42">
        <f>E182*E19*E67</f>
        <v>0</v>
      </c>
      <c r="F198" s="42">
        <f t="shared" ref="F198:H198" si="93">F182*F19*F67</f>
        <v>0</v>
      </c>
      <c r="G198" s="42">
        <f t="shared" si="93"/>
        <v>0</v>
      </c>
      <c r="H198" s="42">
        <f t="shared" si="93"/>
        <v>0</v>
      </c>
      <c r="J198" s="45">
        <f t="shared" si="92"/>
        <v>0</v>
      </c>
    </row>
    <row r="199" spans="3:10" x14ac:dyDescent="0.3">
      <c r="C199" s="20" t="str">
        <f>C$12</f>
        <v>Replacing inefficient electricity devices - freezer</v>
      </c>
      <c r="D199" s="15" t="s">
        <v>542</v>
      </c>
      <c r="E199" s="42">
        <f>E183*E20*E82</f>
        <v>0</v>
      </c>
      <c r="F199" s="42">
        <f t="shared" ref="F199:H199" si="94">F183*F20*F82</f>
        <v>0</v>
      </c>
      <c r="G199" s="42">
        <f t="shared" si="94"/>
        <v>0</v>
      </c>
      <c r="H199" s="42">
        <f t="shared" si="94"/>
        <v>0</v>
      </c>
      <c r="J199" s="45">
        <f t="shared" si="92"/>
        <v>0</v>
      </c>
    </row>
    <row r="200" spans="3:10" x14ac:dyDescent="0.3">
      <c r="C200" s="20" t="str">
        <f>C$13</f>
        <v>Replacing inefficient electricity devices - washing machine</v>
      </c>
      <c r="D200" s="15" t="s">
        <v>542</v>
      </c>
      <c r="E200" s="42">
        <f>E184*E21*E97</f>
        <v>0</v>
      </c>
      <c r="F200" s="42">
        <f t="shared" ref="F200:H200" si="95">F184*F21*F97</f>
        <v>0</v>
      </c>
      <c r="G200" s="42">
        <f t="shared" si="95"/>
        <v>0</v>
      </c>
      <c r="H200" s="42">
        <f t="shared" si="95"/>
        <v>0</v>
      </c>
      <c r="J200" s="45">
        <f t="shared" si="92"/>
        <v>0</v>
      </c>
    </row>
    <row r="201" spans="3:10" x14ac:dyDescent="0.3">
      <c r="C201" s="20" t="str">
        <f>C$14</f>
        <v>Replacing inefficient electricity devices - dish washer</v>
      </c>
      <c r="D201" s="15" t="s">
        <v>542</v>
      </c>
      <c r="E201" s="42">
        <f>E185*E22*E112</f>
        <v>0</v>
      </c>
      <c r="F201" s="42">
        <f t="shared" ref="F201:H201" si="96">F185*F22*F112</f>
        <v>0</v>
      </c>
      <c r="G201" s="42">
        <f t="shared" si="96"/>
        <v>0</v>
      </c>
      <c r="H201" s="42">
        <f t="shared" si="96"/>
        <v>0</v>
      </c>
      <c r="J201" s="45">
        <f t="shared" si="92"/>
        <v>0</v>
      </c>
    </row>
    <row r="202" spans="3:10" x14ac:dyDescent="0.3">
      <c r="C202" s="20"/>
      <c r="D202" s="15"/>
      <c r="E202" s="42"/>
    </row>
    <row r="203" spans="3:10" x14ac:dyDescent="0.3">
      <c r="C203" s="51" t="s">
        <v>726</v>
      </c>
      <c r="D203" s="84"/>
      <c r="E203" s="91"/>
    </row>
    <row r="204" spans="3:10" x14ac:dyDescent="0.3">
      <c r="C204" s="20" t="str">
        <f>C$9</f>
        <v>Replacing old circulation pumps for domestic hot water transport</v>
      </c>
      <c r="D204" s="15" t="s">
        <v>69</v>
      </c>
      <c r="E204" s="55" t="e">
        <f>E180*E123*$J123</f>
        <v>#VALUE!</v>
      </c>
      <c r="F204" s="55" t="e">
        <f t="shared" ref="F204:H204" si="97">F180*F123*$J123</f>
        <v>#VALUE!</v>
      </c>
      <c r="G204" s="55" t="e">
        <f t="shared" si="97"/>
        <v>#VALUE!</v>
      </c>
      <c r="H204" s="55" t="e">
        <f t="shared" si="97"/>
        <v>#VALUE!</v>
      </c>
      <c r="J204" s="45" t="e">
        <f>SUM(E204:H204)</f>
        <v>#VALUE!</v>
      </c>
    </row>
    <row r="205" spans="3:10" x14ac:dyDescent="0.3">
      <c r="C205" s="20" t="str">
        <f>C$10</f>
        <v>Replacing old circulation pumps for space heat water transport</v>
      </c>
      <c r="D205" s="15" t="s">
        <v>69</v>
      </c>
      <c r="E205" s="55" t="e">
        <f t="shared" ref="E205:H209" si="98">E181*E124*$J124</f>
        <v>#VALUE!</v>
      </c>
      <c r="F205" s="55" t="e">
        <f t="shared" si="98"/>
        <v>#VALUE!</v>
      </c>
      <c r="G205" s="55" t="e">
        <f t="shared" si="98"/>
        <v>#VALUE!</v>
      </c>
      <c r="H205" s="55" t="e">
        <f t="shared" si="98"/>
        <v>#VALUE!</v>
      </c>
      <c r="J205" s="45" t="e">
        <f t="shared" ref="J205:J209" si="99">SUM(E205:H205)</f>
        <v>#VALUE!</v>
      </c>
    </row>
    <row r="206" spans="3:10" x14ac:dyDescent="0.3">
      <c r="C206" s="20" t="str">
        <f>C$11</f>
        <v>Replacing inefficient electricity devices - refrigerator</v>
      </c>
      <c r="D206" s="15" t="s">
        <v>69</v>
      </c>
      <c r="E206" s="55" t="e">
        <f t="shared" si="98"/>
        <v>#VALUE!</v>
      </c>
      <c r="F206" s="55" t="e">
        <f t="shared" si="98"/>
        <v>#VALUE!</v>
      </c>
      <c r="G206" s="55" t="e">
        <f t="shared" si="98"/>
        <v>#VALUE!</v>
      </c>
      <c r="H206" s="55" t="e">
        <f t="shared" si="98"/>
        <v>#VALUE!</v>
      </c>
      <c r="J206" s="45" t="e">
        <f t="shared" si="99"/>
        <v>#VALUE!</v>
      </c>
    </row>
    <row r="207" spans="3:10" x14ac:dyDescent="0.3">
      <c r="C207" s="20" t="str">
        <f>C$12</f>
        <v>Replacing inefficient electricity devices - freezer</v>
      </c>
      <c r="D207" s="15" t="s">
        <v>69</v>
      </c>
      <c r="E207" s="55" t="e">
        <f t="shared" si="98"/>
        <v>#VALUE!</v>
      </c>
      <c r="F207" s="55" t="e">
        <f t="shared" si="98"/>
        <v>#VALUE!</v>
      </c>
      <c r="G207" s="55" t="e">
        <f t="shared" si="98"/>
        <v>#VALUE!</v>
      </c>
      <c r="H207" s="55" t="e">
        <f t="shared" si="98"/>
        <v>#VALUE!</v>
      </c>
      <c r="J207" s="45" t="e">
        <f t="shared" si="99"/>
        <v>#VALUE!</v>
      </c>
    </row>
    <row r="208" spans="3:10" x14ac:dyDescent="0.3">
      <c r="C208" s="20" t="str">
        <f>C$13</f>
        <v>Replacing inefficient electricity devices - washing machine</v>
      </c>
      <c r="D208" s="15" t="s">
        <v>69</v>
      </c>
      <c r="E208" s="55" t="e">
        <f t="shared" si="98"/>
        <v>#VALUE!</v>
      </c>
      <c r="F208" s="55" t="e">
        <f t="shared" si="98"/>
        <v>#VALUE!</v>
      </c>
      <c r="G208" s="55" t="e">
        <f t="shared" si="98"/>
        <v>#VALUE!</v>
      </c>
      <c r="H208" s="55" t="e">
        <f t="shared" si="98"/>
        <v>#VALUE!</v>
      </c>
      <c r="J208" s="45" t="e">
        <f t="shared" si="99"/>
        <v>#VALUE!</v>
      </c>
    </row>
    <row r="209" spans="3:10" x14ac:dyDescent="0.3">
      <c r="C209" s="20" t="str">
        <f>C$14</f>
        <v>Replacing inefficient electricity devices - dish washer</v>
      </c>
      <c r="D209" s="15" t="s">
        <v>69</v>
      </c>
      <c r="E209" s="55" t="e">
        <f t="shared" si="98"/>
        <v>#VALUE!</v>
      </c>
      <c r="F209" s="55" t="e">
        <f t="shared" si="98"/>
        <v>#VALUE!</v>
      </c>
      <c r="G209" s="55" t="e">
        <f t="shared" si="98"/>
        <v>#VALUE!</v>
      </c>
      <c r="H209" s="55" t="e">
        <f t="shared" si="98"/>
        <v>#VALUE!</v>
      </c>
      <c r="J209" s="45" t="e">
        <f t="shared" si="99"/>
        <v>#VALUE!</v>
      </c>
    </row>
    <row r="211" spans="3:10" x14ac:dyDescent="0.3">
      <c r="C211" s="51" t="s">
        <v>522</v>
      </c>
      <c r="D211" s="84"/>
      <c r="E211" s="91"/>
    </row>
    <row r="212" spans="3:10" x14ac:dyDescent="0.3">
      <c r="C212" s="20" t="str">
        <f>C$9</f>
        <v>Replacing old circulation pumps for domestic hot water transport</v>
      </c>
      <c r="D212" s="84" t="s">
        <v>527</v>
      </c>
      <c r="E212" s="42" t="e">
        <f t="shared" ref="E212:H217" si="100">E180*E151</f>
        <v>#N/A</v>
      </c>
      <c r="F212" s="42" t="e">
        <f t="shared" si="100"/>
        <v>#N/A</v>
      </c>
      <c r="G212" s="42" t="e">
        <f t="shared" si="100"/>
        <v>#N/A</v>
      </c>
      <c r="H212" s="42" t="e">
        <f t="shared" si="100"/>
        <v>#N/A</v>
      </c>
      <c r="J212" s="136"/>
    </row>
    <row r="213" spans="3:10" x14ac:dyDescent="0.3">
      <c r="C213" s="20" t="str">
        <f>C$10</f>
        <v>Replacing old circulation pumps for space heat water transport</v>
      </c>
      <c r="D213" s="84" t="s">
        <v>527</v>
      </c>
      <c r="E213" s="42" t="e">
        <f t="shared" si="100"/>
        <v>#N/A</v>
      </c>
      <c r="F213" s="42" t="e">
        <f t="shared" si="100"/>
        <v>#N/A</v>
      </c>
      <c r="G213" s="42" t="e">
        <f t="shared" si="100"/>
        <v>#N/A</v>
      </c>
      <c r="H213" s="42" t="e">
        <f t="shared" si="100"/>
        <v>#N/A</v>
      </c>
      <c r="J213" s="136"/>
    </row>
    <row r="214" spans="3:10" x14ac:dyDescent="0.3">
      <c r="C214" s="20" t="str">
        <f>C$11</f>
        <v>Replacing inefficient electricity devices - refrigerator</v>
      </c>
      <c r="D214" s="84" t="s">
        <v>527</v>
      </c>
      <c r="E214" s="42" t="e">
        <f t="shared" si="100"/>
        <v>#N/A</v>
      </c>
      <c r="F214" s="42" t="e">
        <f t="shared" si="100"/>
        <v>#N/A</v>
      </c>
      <c r="G214" s="42" t="e">
        <f t="shared" si="100"/>
        <v>#N/A</v>
      </c>
      <c r="H214" s="42" t="e">
        <f t="shared" si="100"/>
        <v>#N/A</v>
      </c>
      <c r="J214" s="136"/>
    </row>
    <row r="215" spans="3:10" x14ac:dyDescent="0.3">
      <c r="C215" s="20" t="str">
        <f>C$12</f>
        <v>Replacing inefficient electricity devices - freezer</v>
      </c>
      <c r="D215" s="84" t="s">
        <v>527</v>
      </c>
      <c r="E215" s="42" t="e">
        <f t="shared" si="100"/>
        <v>#N/A</v>
      </c>
      <c r="F215" s="42" t="e">
        <f t="shared" si="100"/>
        <v>#N/A</v>
      </c>
      <c r="G215" s="42" t="e">
        <f t="shared" si="100"/>
        <v>#N/A</v>
      </c>
      <c r="H215" s="42" t="e">
        <f t="shared" si="100"/>
        <v>#N/A</v>
      </c>
      <c r="J215" s="136"/>
    </row>
    <row r="216" spans="3:10" x14ac:dyDescent="0.3">
      <c r="C216" s="20" t="str">
        <f>C$13</f>
        <v>Replacing inefficient electricity devices - washing machine</v>
      </c>
      <c r="D216" s="84" t="s">
        <v>527</v>
      </c>
      <c r="E216" s="42" t="e">
        <f t="shared" si="100"/>
        <v>#N/A</v>
      </c>
      <c r="F216" s="42" t="e">
        <f t="shared" si="100"/>
        <v>#N/A</v>
      </c>
      <c r="G216" s="42" t="e">
        <f t="shared" si="100"/>
        <v>#N/A</v>
      </c>
      <c r="H216" s="42" t="e">
        <f t="shared" si="100"/>
        <v>#N/A</v>
      </c>
      <c r="J216" s="136"/>
    </row>
    <row r="217" spans="3:10" x14ac:dyDescent="0.3">
      <c r="C217" s="20" t="str">
        <f>C$14</f>
        <v>Replacing inefficient electricity devices - dish washer</v>
      </c>
      <c r="D217" s="84" t="s">
        <v>527</v>
      </c>
      <c r="E217" s="42" t="e">
        <f t="shared" si="100"/>
        <v>#N/A</v>
      </c>
      <c r="F217" s="42" t="e">
        <f t="shared" si="100"/>
        <v>#N/A</v>
      </c>
      <c r="G217" s="42" t="e">
        <f t="shared" si="100"/>
        <v>#N/A</v>
      </c>
      <c r="H217" s="42" t="e">
        <f t="shared" si="100"/>
        <v>#N/A</v>
      </c>
      <c r="J217" s="136"/>
    </row>
    <row r="218" spans="3:10" x14ac:dyDescent="0.3">
      <c r="C218" s="20"/>
      <c r="E218" s="42"/>
    </row>
    <row r="219" spans="3:10" x14ac:dyDescent="0.3">
      <c r="C219" s="51" t="s">
        <v>544</v>
      </c>
      <c r="D219" s="207"/>
      <c r="E219" s="208"/>
    </row>
    <row r="220" spans="3:10" x14ac:dyDescent="0.3">
      <c r="C220" s="20" t="str">
        <f>C$9</f>
        <v>Replacing old circulation pumps for domestic hot water transport</v>
      </c>
      <c r="D220" s="207" t="s">
        <v>605</v>
      </c>
      <c r="E220" s="99" t="e">
        <f>E212*E39</f>
        <v>#N/A</v>
      </c>
      <c r="F220" s="99" t="e">
        <f t="shared" ref="F220:H220" si="101">F212*F39</f>
        <v>#N/A</v>
      </c>
      <c r="G220" s="99" t="e">
        <f t="shared" si="101"/>
        <v>#N/A</v>
      </c>
      <c r="H220" s="99" t="e">
        <f t="shared" si="101"/>
        <v>#N/A</v>
      </c>
      <c r="J220" s="136" t="e">
        <f>SUM(E220:H220)</f>
        <v>#N/A</v>
      </c>
    </row>
    <row r="221" spans="3:10" x14ac:dyDescent="0.3">
      <c r="C221" s="20" t="str">
        <f>C$10</f>
        <v>Replacing old circulation pumps for space heat water transport</v>
      </c>
      <c r="D221" s="207" t="s">
        <v>605</v>
      </c>
      <c r="E221" s="99" t="e">
        <f>E213*E52</f>
        <v>#N/A</v>
      </c>
      <c r="F221" s="99" t="e">
        <f t="shared" ref="F221:H221" si="102">F213*F52</f>
        <v>#N/A</v>
      </c>
      <c r="G221" s="99" t="e">
        <f t="shared" si="102"/>
        <v>#N/A</v>
      </c>
      <c r="H221" s="99" t="e">
        <f t="shared" si="102"/>
        <v>#N/A</v>
      </c>
      <c r="J221" s="136" t="e">
        <f t="shared" ref="J221:J225" si="103">SUM(E221:H221)</f>
        <v>#N/A</v>
      </c>
    </row>
    <row r="222" spans="3:10" x14ac:dyDescent="0.3">
      <c r="C222" s="20" t="str">
        <f>C$11</f>
        <v>Replacing inefficient electricity devices - refrigerator</v>
      </c>
      <c r="D222" s="207" t="s">
        <v>605</v>
      </c>
      <c r="E222" s="99" t="e">
        <f>E214*E67</f>
        <v>#N/A</v>
      </c>
      <c r="F222" s="99" t="e">
        <f t="shared" ref="F222:H222" si="104">F214*F67</f>
        <v>#N/A</v>
      </c>
      <c r="G222" s="99" t="e">
        <f t="shared" si="104"/>
        <v>#N/A</v>
      </c>
      <c r="H222" s="99" t="e">
        <f t="shared" si="104"/>
        <v>#N/A</v>
      </c>
      <c r="J222" s="136" t="e">
        <f t="shared" si="103"/>
        <v>#N/A</v>
      </c>
    </row>
    <row r="223" spans="3:10" x14ac:dyDescent="0.3">
      <c r="C223" s="20" t="str">
        <f>C$12</f>
        <v>Replacing inefficient electricity devices - freezer</v>
      </c>
      <c r="D223" s="207" t="s">
        <v>605</v>
      </c>
      <c r="E223" s="99" t="e">
        <f>E215*E82</f>
        <v>#N/A</v>
      </c>
      <c r="F223" s="99" t="e">
        <f t="shared" ref="F223:H223" si="105">F215*F82</f>
        <v>#N/A</v>
      </c>
      <c r="G223" s="99" t="e">
        <f t="shared" si="105"/>
        <v>#N/A</v>
      </c>
      <c r="H223" s="99" t="e">
        <f t="shared" si="105"/>
        <v>#N/A</v>
      </c>
      <c r="J223" s="136" t="e">
        <f t="shared" si="103"/>
        <v>#N/A</v>
      </c>
    </row>
    <row r="224" spans="3:10" x14ac:dyDescent="0.3">
      <c r="C224" s="20" t="str">
        <f>C$13</f>
        <v>Replacing inefficient electricity devices - washing machine</v>
      </c>
      <c r="D224" s="207" t="s">
        <v>605</v>
      </c>
      <c r="E224" s="99" t="e">
        <f>E216*E97</f>
        <v>#N/A</v>
      </c>
      <c r="F224" s="99" t="e">
        <f t="shared" ref="F224:H224" si="106">F216*F97</f>
        <v>#N/A</v>
      </c>
      <c r="G224" s="99" t="e">
        <f t="shared" si="106"/>
        <v>#N/A</v>
      </c>
      <c r="H224" s="99" t="e">
        <f t="shared" si="106"/>
        <v>#N/A</v>
      </c>
      <c r="J224" s="136" t="e">
        <f t="shared" si="103"/>
        <v>#N/A</v>
      </c>
    </row>
    <row r="225" spans="3:10" x14ac:dyDescent="0.3">
      <c r="C225" s="20" t="str">
        <f>C$14</f>
        <v>Replacing inefficient electricity devices - dish washer</v>
      </c>
      <c r="D225" s="207" t="s">
        <v>605</v>
      </c>
      <c r="E225" s="99" t="e">
        <f>E217*E112</f>
        <v>#N/A</v>
      </c>
      <c r="F225" s="99" t="e">
        <f t="shared" ref="F225:H225" si="107">F217*F112</f>
        <v>#N/A</v>
      </c>
      <c r="G225" s="99" t="e">
        <f t="shared" si="107"/>
        <v>#N/A</v>
      </c>
      <c r="H225" s="99" t="e">
        <f t="shared" si="107"/>
        <v>#N/A</v>
      </c>
      <c r="J225" s="136" t="e">
        <f t="shared" si="103"/>
        <v>#N/A</v>
      </c>
    </row>
    <row r="226" spans="3:10" x14ac:dyDescent="0.3">
      <c r="C226" s="221"/>
      <c r="D226" s="222"/>
      <c r="E226" s="223"/>
      <c r="F226" s="223"/>
      <c r="G226" s="223"/>
      <c r="H226" s="223"/>
      <c r="J226" s="223"/>
    </row>
    <row r="227" spans="3:10" x14ac:dyDescent="0.3">
      <c r="C227" s="51" t="s">
        <v>313</v>
      </c>
      <c r="E227" s="91"/>
    </row>
    <row r="228" spans="3:10" x14ac:dyDescent="0.3">
      <c r="C228" s="20" t="str">
        <f>C$9</f>
        <v>Replacing old circulation pumps for domestic hot water transport</v>
      </c>
      <c r="D228" s="84" t="s">
        <v>272</v>
      </c>
      <c r="E228" s="42" t="e">
        <f t="shared" ref="E228:H233" si="108">E180*E159</f>
        <v>#N/A</v>
      </c>
      <c r="F228" s="42" t="e">
        <f t="shared" si="108"/>
        <v>#N/A</v>
      </c>
      <c r="G228" s="42" t="e">
        <f t="shared" si="108"/>
        <v>#N/A</v>
      </c>
      <c r="H228" s="42" t="e">
        <f t="shared" si="108"/>
        <v>#N/A</v>
      </c>
      <c r="J228" s="45"/>
    </row>
    <row r="229" spans="3:10" x14ac:dyDescent="0.3">
      <c r="C229" s="20" t="str">
        <f>C$10</f>
        <v>Replacing old circulation pumps for space heat water transport</v>
      </c>
      <c r="D229" s="15" t="s">
        <v>272</v>
      </c>
      <c r="E229" s="42" t="e">
        <f t="shared" si="108"/>
        <v>#N/A</v>
      </c>
      <c r="F229" s="42" t="e">
        <f t="shared" si="108"/>
        <v>#N/A</v>
      </c>
      <c r="G229" s="42" t="e">
        <f t="shared" si="108"/>
        <v>#N/A</v>
      </c>
      <c r="H229" s="42" t="e">
        <f t="shared" si="108"/>
        <v>#N/A</v>
      </c>
      <c r="J229" s="45"/>
    </row>
    <row r="230" spans="3:10" x14ac:dyDescent="0.3">
      <c r="C230" s="20" t="str">
        <f>C$11</f>
        <v>Replacing inefficient electricity devices - refrigerator</v>
      </c>
      <c r="D230" s="15" t="s">
        <v>272</v>
      </c>
      <c r="E230" s="42" t="e">
        <f t="shared" si="108"/>
        <v>#N/A</v>
      </c>
      <c r="F230" s="42" t="e">
        <f t="shared" si="108"/>
        <v>#N/A</v>
      </c>
      <c r="G230" s="42" t="e">
        <f t="shared" si="108"/>
        <v>#N/A</v>
      </c>
      <c r="H230" s="42" t="e">
        <f t="shared" si="108"/>
        <v>#N/A</v>
      </c>
      <c r="J230" s="45"/>
    </row>
    <row r="231" spans="3:10" x14ac:dyDescent="0.3">
      <c r="C231" s="20" t="str">
        <f>C$12</f>
        <v>Replacing inefficient electricity devices - freezer</v>
      </c>
      <c r="D231" s="15" t="s">
        <v>272</v>
      </c>
      <c r="E231" s="42" t="e">
        <f t="shared" si="108"/>
        <v>#N/A</v>
      </c>
      <c r="F231" s="42" t="e">
        <f t="shared" si="108"/>
        <v>#N/A</v>
      </c>
      <c r="G231" s="42" t="e">
        <f t="shared" si="108"/>
        <v>#N/A</v>
      </c>
      <c r="H231" s="42" t="e">
        <f t="shared" si="108"/>
        <v>#N/A</v>
      </c>
      <c r="J231" s="45"/>
    </row>
    <row r="232" spans="3:10" x14ac:dyDescent="0.3">
      <c r="C232" s="20" t="str">
        <f>C$13</f>
        <v>Replacing inefficient electricity devices - washing machine</v>
      </c>
      <c r="D232" s="15" t="s">
        <v>272</v>
      </c>
      <c r="E232" s="42" t="e">
        <f t="shared" si="108"/>
        <v>#N/A</v>
      </c>
      <c r="F232" s="42" t="e">
        <f t="shared" si="108"/>
        <v>#N/A</v>
      </c>
      <c r="G232" s="42" t="e">
        <f t="shared" si="108"/>
        <v>#N/A</v>
      </c>
      <c r="H232" s="42" t="e">
        <f t="shared" si="108"/>
        <v>#N/A</v>
      </c>
      <c r="J232" s="45"/>
    </row>
    <row r="233" spans="3:10" x14ac:dyDescent="0.3">
      <c r="C233" s="20" t="str">
        <f>C$14</f>
        <v>Replacing inefficient electricity devices - dish washer</v>
      </c>
      <c r="D233" s="15" t="s">
        <v>272</v>
      </c>
      <c r="E233" s="42" t="e">
        <f t="shared" si="108"/>
        <v>#N/A</v>
      </c>
      <c r="F233" s="42" t="e">
        <f t="shared" si="108"/>
        <v>#N/A</v>
      </c>
      <c r="G233" s="42" t="e">
        <f t="shared" si="108"/>
        <v>#N/A</v>
      </c>
      <c r="H233" s="42" t="e">
        <f t="shared" si="108"/>
        <v>#N/A</v>
      </c>
      <c r="J233" s="45"/>
    </row>
    <row r="235" spans="3:10" x14ac:dyDescent="0.3">
      <c r="C235" s="51" t="s">
        <v>546</v>
      </c>
      <c r="E235" s="208"/>
    </row>
    <row r="236" spans="3:10" x14ac:dyDescent="0.3">
      <c r="C236" s="20" t="str">
        <f>C$9</f>
        <v>Replacing old circulation pumps for domestic hot water transport</v>
      </c>
      <c r="D236" s="207" t="s">
        <v>69</v>
      </c>
      <c r="E236" s="42" t="e">
        <f>E228*$J169</f>
        <v>#N/A</v>
      </c>
      <c r="F236" s="42" t="e">
        <f t="shared" ref="F236:H236" si="109">F228*$J169</f>
        <v>#N/A</v>
      </c>
      <c r="G236" s="42" t="e">
        <f t="shared" si="109"/>
        <v>#N/A</v>
      </c>
      <c r="H236" s="42" t="e">
        <f t="shared" si="109"/>
        <v>#N/A</v>
      </c>
      <c r="J236" s="45" t="e">
        <f>SUM(E236:H236)</f>
        <v>#N/A</v>
      </c>
    </row>
    <row r="237" spans="3:10" x14ac:dyDescent="0.3">
      <c r="C237" s="20" t="str">
        <f>C$10</f>
        <v>Replacing old circulation pumps for space heat water transport</v>
      </c>
      <c r="D237" s="207" t="s">
        <v>69</v>
      </c>
      <c r="E237" s="42" t="e">
        <f t="shared" ref="E237:H241" si="110">E229*$J170</f>
        <v>#N/A</v>
      </c>
      <c r="F237" s="42" t="e">
        <f t="shared" si="110"/>
        <v>#N/A</v>
      </c>
      <c r="G237" s="42" t="e">
        <f t="shared" si="110"/>
        <v>#N/A</v>
      </c>
      <c r="H237" s="42" t="e">
        <f t="shared" si="110"/>
        <v>#N/A</v>
      </c>
      <c r="J237" s="45" t="e">
        <f t="shared" ref="J237:J241" si="111">SUM(E237:H237)</f>
        <v>#N/A</v>
      </c>
    </row>
    <row r="238" spans="3:10" x14ac:dyDescent="0.3">
      <c r="C238" s="20" t="str">
        <f>C$11</f>
        <v>Replacing inefficient electricity devices - refrigerator</v>
      </c>
      <c r="D238" s="207" t="s">
        <v>69</v>
      </c>
      <c r="E238" s="42" t="e">
        <f t="shared" si="110"/>
        <v>#N/A</v>
      </c>
      <c r="F238" s="42" t="e">
        <f t="shared" si="110"/>
        <v>#N/A</v>
      </c>
      <c r="G238" s="42" t="e">
        <f t="shared" si="110"/>
        <v>#N/A</v>
      </c>
      <c r="H238" s="42" t="e">
        <f t="shared" si="110"/>
        <v>#N/A</v>
      </c>
      <c r="J238" s="45" t="e">
        <f t="shared" si="111"/>
        <v>#N/A</v>
      </c>
    </row>
    <row r="239" spans="3:10" x14ac:dyDescent="0.3">
      <c r="C239" s="20" t="str">
        <f>C$12</f>
        <v>Replacing inefficient electricity devices - freezer</v>
      </c>
      <c r="D239" s="207" t="s">
        <v>69</v>
      </c>
      <c r="E239" s="42" t="e">
        <f t="shared" si="110"/>
        <v>#N/A</v>
      </c>
      <c r="F239" s="42" t="e">
        <f t="shared" si="110"/>
        <v>#N/A</v>
      </c>
      <c r="G239" s="42" t="e">
        <f t="shared" si="110"/>
        <v>#N/A</v>
      </c>
      <c r="H239" s="42" t="e">
        <f t="shared" si="110"/>
        <v>#N/A</v>
      </c>
      <c r="J239" s="45" t="e">
        <f t="shared" si="111"/>
        <v>#N/A</v>
      </c>
    </row>
    <row r="240" spans="3:10" x14ac:dyDescent="0.3">
      <c r="C240" s="20" t="str">
        <f>C$13</f>
        <v>Replacing inefficient electricity devices - washing machine</v>
      </c>
      <c r="D240" s="207" t="s">
        <v>69</v>
      </c>
      <c r="E240" s="42" t="e">
        <f t="shared" si="110"/>
        <v>#N/A</v>
      </c>
      <c r="F240" s="42" t="e">
        <f t="shared" si="110"/>
        <v>#N/A</v>
      </c>
      <c r="G240" s="42" t="e">
        <f t="shared" si="110"/>
        <v>#N/A</v>
      </c>
      <c r="H240" s="42" t="e">
        <f t="shared" si="110"/>
        <v>#N/A</v>
      </c>
      <c r="J240" s="45" t="e">
        <f t="shared" si="111"/>
        <v>#N/A</v>
      </c>
    </row>
    <row r="241" spans="3:10" x14ac:dyDescent="0.3">
      <c r="C241" s="20" t="str">
        <f>C$14</f>
        <v>Replacing inefficient electricity devices - dish washer</v>
      </c>
      <c r="D241" s="207" t="s">
        <v>69</v>
      </c>
      <c r="E241" s="42" t="e">
        <f t="shared" si="110"/>
        <v>#N/A</v>
      </c>
      <c r="F241" s="42" t="e">
        <f t="shared" si="110"/>
        <v>#N/A</v>
      </c>
      <c r="G241" s="42" t="e">
        <f t="shared" si="110"/>
        <v>#N/A</v>
      </c>
      <c r="H241" s="42" t="e">
        <f t="shared" si="110"/>
        <v>#N/A</v>
      </c>
      <c r="J241" s="45" t="e">
        <f t="shared" si="111"/>
        <v>#N/A</v>
      </c>
    </row>
    <row r="243" spans="3:10" x14ac:dyDescent="0.3">
      <c r="C243" s="51" t="s">
        <v>547</v>
      </c>
    </row>
    <row r="244" spans="3:10" x14ac:dyDescent="0.3">
      <c r="C244" s="209" t="str">
        <f t="shared" ref="C244:C249" si="112">C236</f>
        <v>Replacing old circulation pumps for domestic hot water transport</v>
      </c>
      <c r="D244" s="207" t="s">
        <v>548</v>
      </c>
      <c r="E244" s="160" t="e">
        <f>E180*(M151+U151+AC151+AK151)</f>
        <v>#DIV/0!</v>
      </c>
      <c r="F244" s="160" t="e">
        <f t="shared" ref="F244:H249" si="113">F180*(N151+V151+AD151+AL151)</f>
        <v>#DIV/0!</v>
      </c>
      <c r="G244" s="160" t="e">
        <f t="shared" si="113"/>
        <v>#DIV/0!</v>
      </c>
      <c r="H244" s="160" t="e">
        <f t="shared" si="113"/>
        <v>#DIV/0!</v>
      </c>
    </row>
    <row r="245" spans="3:10" x14ac:dyDescent="0.3">
      <c r="C245" s="209" t="str">
        <f t="shared" si="112"/>
        <v>Replacing old circulation pumps for space heat water transport</v>
      </c>
      <c r="D245" s="207" t="s">
        <v>548</v>
      </c>
      <c r="E245" s="160" t="e">
        <f t="shared" ref="E245:E249" si="114">E181*(M152+U152+AC152+AK152)</f>
        <v>#DIV/0!</v>
      </c>
      <c r="F245" s="160" t="e">
        <f t="shared" si="113"/>
        <v>#DIV/0!</v>
      </c>
      <c r="G245" s="160" t="e">
        <f t="shared" si="113"/>
        <v>#DIV/0!</v>
      </c>
      <c r="H245" s="160" t="e">
        <f t="shared" si="113"/>
        <v>#DIV/0!</v>
      </c>
    </row>
    <row r="246" spans="3:10" x14ac:dyDescent="0.3">
      <c r="C246" s="209" t="str">
        <f t="shared" si="112"/>
        <v>Replacing inefficient electricity devices - refrigerator</v>
      </c>
      <c r="D246" s="207" t="s">
        <v>548</v>
      </c>
      <c r="E246" s="160" t="e">
        <f t="shared" si="114"/>
        <v>#DIV/0!</v>
      </c>
      <c r="F246" s="160" t="e">
        <f t="shared" si="113"/>
        <v>#DIV/0!</v>
      </c>
      <c r="G246" s="160" t="e">
        <f t="shared" si="113"/>
        <v>#DIV/0!</v>
      </c>
      <c r="H246" s="160" t="e">
        <f t="shared" si="113"/>
        <v>#DIV/0!</v>
      </c>
    </row>
    <row r="247" spans="3:10" x14ac:dyDescent="0.3">
      <c r="C247" s="209" t="str">
        <f t="shared" si="112"/>
        <v>Replacing inefficient electricity devices - freezer</v>
      </c>
      <c r="D247" s="207" t="s">
        <v>548</v>
      </c>
      <c r="E247" s="160" t="e">
        <f t="shared" si="114"/>
        <v>#DIV/0!</v>
      </c>
      <c r="F247" s="160" t="e">
        <f t="shared" si="113"/>
        <v>#DIV/0!</v>
      </c>
      <c r="G247" s="160" t="e">
        <f t="shared" si="113"/>
        <v>#DIV/0!</v>
      </c>
      <c r="H247" s="160" t="e">
        <f t="shared" si="113"/>
        <v>#DIV/0!</v>
      </c>
    </row>
    <row r="248" spans="3:10" x14ac:dyDescent="0.3">
      <c r="C248" s="209" t="str">
        <f t="shared" si="112"/>
        <v>Replacing inefficient electricity devices - washing machine</v>
      </c>
      <c r="D248" s="207" t="s">
        <v>548</v>
      </c>
      <c r="E248" s="160" t="e">
        <f t="shared" si="114"/>
        <v>#DIV/0!</v>
      </c>
      <c r="F248" s="160" t="e">
        <f t="shared" si="113"/>
        <v>#DIV/0!</v>
      </c>
      <c r="G248" s="160" t="e">
        <f t="shared" si="113"/>
        <v>#DIV/0!</v>
      </c>
      <c r="H248" s="160" t="e">
        <f t="shared" si="113"/>
        <v>#DIV/0!</v>
      </c>
    </row>
    <row r="249" spans="3:10" x14ac:dyDescent="0.3">
      <c r="C249" s="209" t="str">
        <f t="shared" si="112"/>
        <v>Replacing inefficient electricity devices - dish washer</v>
      </c>
      <c r="D249" s="207" t="s">
        <v>548</v>
      </c>
      <c r="E249" s="160" t="e">
        <f t="shared" si="114"/>
        <v>#DIV/0!</v>
      </c>
      <c r="F249" s="160" t="e">
        <f t="shared" si="113"/>
        <v>#DIV/0!</v>
      </c>
      <c r="G249" s="160" t="e">
        <f t="shared" si="113"/>
        <v>#DIV/0!</v>
      </c>
      <c r="H249" s="160" t="e">
        <f t="shared" si="113"/>
        <v>#DIV/0!</v>
      </c>
    </row>
    <row r="251" spans="3:10" x14ac:dyDescent="0.3">
      <c r="C251" s="51" t="s">
        <v>549</v>
      </c>
    </row>
    <row r="252" spans="3:10" x14ac:dyDescent="0.3">
      <c r="C252" s="209" t="str">
        <f t="shared" ref="C252:C257" si="115">C244</f>
        <v>Replacing old circulation pumps for domestic hot water transport</v>
      </c>
      <c r="D252" s="207" t="s">
        <v>550</v>
      </c>
      <c r="E252" s="160" t="e">
        <f>E244*E$39</f>
        <v>#DIV/0!</v>
      </c>
      <c r="F252" s="160" t="e">
        <f t="shared" ref="F252:H252" si="116">F244*F$39</f>
        <v>#DIV/0!</v>
      </c>
      <c r="G252" s="160" t="e">
        <f t="shared" si="116"/>
        <v>#DIV/0!</v>
      </c>
      <c r="H252" s="160" t="e">
        <f t="shared" si="116"/>
        <v>#DIV/0!</v>
      </c>
      <c r="J252" s="200" t="e">
        <f>SUM(E252:H252)</f>
        <v>#DIV/0!</v>
      </c>
    </row>
    <row r="253" spans="3:10" x14ac:dyDescent="0.3">
      <c r="C253" s="209" t="str">
        <f t="shared" si="115"/>
        <v>Replacing old circulation pumps for space heat water transport</v>
      </c>
      <c r="D253" s="207" t="s">
        <v>550</v>
      </c>
      <c r="E253" s="160" t="e">
        <f>E245*E$52</f>
        <v>#DIV/0!</v>
      </c>
      <c r="F253" s="160" t="e">
        <f t="shared" ref="F253:H253" si="117">F245*F$52</f>
        <v>#DIV/0!</v>
      </c>
      <c r="G253" s="160" t="e">
        <f t="shared" si="117"/>
        <v>#DIV/0!</v>
      </c>
      <c r="H253" s="160" t="e">
        <f t="shared" si="117"/>
        <v>#DIV/0!</v>
      </c>
      <c r="J253" s="200" t="e">
        <f t="shared" ref="J253:J257" si="118">SUM(E253:H253)</f>
        <v>#DIV/0!</v>
      </c>
    </row>
    <row r="254" spans="3:10" x14ac:dyDescent="0.3">
      <c r="C254" s="209" t="str">
        <f t="shared" si="115"/>
        <v>Replacing inefficient electricity devices - refrigerator</v>
      </c>
      <c r="D254" s="207" t="s">
        <v>550</v>
      </c>
      <c r="E254" s="160" t="e">
        <f>E246*E$67</f>
        <v>#DIV/0!</v>
      </c>
      <c r="F254" s="160" t="e">
        <f t="shared" ref="F254:H254" si="119">F246*F$67</f>
        <v>#DIV/0!</v>
      </c>
      <c r="G254" s="160" t="e">
        <f t="shared" si="119"/>
        <v>#DIV/0!</v>
      </c>
      <c r="H254" s="160" t="e">
        <f t="shared" si="119"/>
        <v>#DIV/0!</v>
      </c>
      <c r="J254" s="200" t="e">
        <f t="shared" si="118"/>
        <v>#DIV/0!</v>
      </c>
    </row>
    <row r="255" spans="3:10" x14ac:dyDescent="0.3">
      <c r="C255" s="209" t="str">
        <f t="shared" si="115"/>
        <v>Replacing inefficient electricity devices - freezer</v>
      </c>
      <c r="D255" s="207" t="s">
        <v>550</v>
      </c>
      <c r="E255" s="160" t="e">
        <f>E247*E$82</f>
        <v>#DIV/0!</v>
      </c>
      <c r="F255" s="160" t="e">
        <f t="shared" ref="F255:H255" si="120">F247*F$82</f>
        <v>#DIV/0!</v>
      </c>
      <c r="G255" s="160" t="e">
        <f t="shared" si="120"/>
        <v>#DIV/0!</v>
      </c>
      <c r="H255" s="160" t="e">
        <f t="shared" si="120"/>
        <v>#DIV/0!</v>
      </c>
      <c r="J255" s="200" t="e">
        <f t="shared" si="118"/>
        <v>#DIV/0!</v>
      </c>
    </row>
    <row r="256" spans="3:10" x14ac:dyDescent="0.3">
      <c r="C256" s="209" t="str">
        <f t="shared" si="115"/>
        <v>Replacing inefficient electricity devices - washing machine</v>
      </c>
      <c r="D256" s="207" t="s">
        <v>550</v>
      </c>
      <c r="E256" s="160" t="e">
        <f>E248*E$97</f>
        <v>#DIV/0!</v>
      </c>
      <c r="F256" s="160" t="e">
        <f t="shared" ref="F256:H256" si="121">F248*F$97</f>
        <v>#DIV/0!</v>
      </c>
      <c r="G256" s="160" t="e">
        <f t="shared" si="121"/>
        <v>#DIV/0!</v>
      </c>
      <c r="H256" s="160" t="e">
        <f t="shared" si="121"/>
        <v>#DIV/0!</v>
      </c>
      <c r="J256" s="200" t="e">
        <f t="shared" si="118"/>
        <v>#DIV/0!</v>
      </c>
    </row>
    <row r="257" spans="3:10" x14ac:dyDescent="0.3">
      <c r="C257" s="209" t="str">
        <f t="shared" si="115"/>
        <v>Replacing inefficient electricity devices - dish washer</v>
      </c>
      <c r="D257" s="207" t="s">
        <v>550</v>
      </c>
      <c r="E257" s="160" t="e">
        <f>E249*E$112</f>
        <v>#DIV/0!</v>
      </c>
      <c r="F257" s="160" t="e">
        <f t="shared" ref="F257:H257" si="122">F249*F$112</f>
        <v>#DIV/0!</v>
      </c>
      <c r="G257" s="160" t="e">
        <f t="shared" si="122"/>
        <v>#DIV/0!</v>
      </c>
      <c r="H257" s="160" t="e">
        <f t="shared" si="122"/>
        <v>#DIV/0!</v>
      </c>
      <c r="J257" s="200" t="e">
        <f t="shared" si="118"/>
        <v>#DIV/0!</v>
      </c>
    </row>
    <row r="259" spans="3:10" x14ac:dyDescent="0.3">
      <c r="C259" s="51" t="s">
        <v>537</v>
      </c>
      <c r="E259" s="159"/>
    </row>
    <row r="260" spans="3:10" x14ac:dyDescent="0.3">
      <c r="C260" s="209" t="str">
        <f t="shared" ref="C260:C265" si="123">C244</f>
        <v>Replacing old circulation pumps for domestic hot water transport</v>
      </c>
      <c r="D260" s="207" t="s">
        <v>272</v>
      </c>
      <c r="E260" s="159" t="e">
        <f t="shared" ref="E260:E265" si="124">E169*E180</f>
        <v>#DIV/0!</v>
      </c>
      <c r="F260" s="159" t="e">
        <f t="shared" ref="F260:H260" si="125">F169*F180</f>
        <v>#DIV/0!</v>
      </c>
      <c r="G260" s="159" t="e">
        <f t="shared" si="125"/>
        <v>#DIV/0!</v>
      </c>
      <c r="H260" s="159" t="e">
        <f t="shared" si="125"/>
        <v>#DIV/0!</v>
      </c>
    </row>
    <row r="261" spans="3:10" x14ac:dyDescent="0.3">
      <c r="C261" s="209" t="str">
        <f t="shared" si="123"/>
        <v>Replacing old circulation pumps for space heat water transport</v>
      </c>
      <c r="D261" s="207" t="s">
        <v>272</v>
      </c>
      <c r="E261" s="159" t="e">
        <f t="shared" si="124"/>
        <v>#DIV/0!</v>
      </c>
      <c r="F261" s="159" t="e">
        <f t="shared" ref="F261:H265" si="126">F170*F181</f>
        <v>#DIV/0!</v>
      </c>
      <c r="G261" s="159" t="e">
        <f t="shared" si="126"/>
        <v>#DIV/0!</v>
      </c>
      <c r="H261" s="159" t="e">
        <f t="shared" si="126"/>
        <v>#DIV/0!</v>
      </c>
    </row>
    <row r="262" spans="3:10" x14ac:dyDescent="0.3">
      <c r="C262" s="209" t="str">
        <f t="shared" si="123"/>
        <v>Replacing inefficient electricity devices - refrigerator</v>
      </c>
      <c r="D262" s="207" t="s">
        <v>272</v>
      </c>
      <c r="E262" s="159" t="e">
        <f t="shared" si="124"/>
        <v>#DIV/0!</v>
      </c>
      <c r="F262" s="159" t="e">
        <f t="shared" si="126"/>
        <v>#DIV/0!</v>
      </c>
      <c r="G262" s="159" t="e">
        <f t="shared" si="126"/>
        <v>#DIV/0!</v>
      </c>
      <c r="H262" s="159" t="e">
        <f t="shared" si="126"/>
        <v>#DIV/0!</v>
      </c>
    </row>
    <row r="263" spans="3:10" x14ac:dyDescent="0.3">
      <c r="C263" s="209" t="str">
        <f t="shared" si="123"/>
        <v>Replacing inefficient electricity devices - freezer</v>
      </c>
      <c r="D263" s="207" t="s">
        <v>272</v>
      </c>
      <c r="E263" s="159" t="e">
        <f t="shared" si="124"/>
        <v>#DIV/0!</v>
      </c>
      <c r="F263" s="159" t="e">
        <f t="shared" si="126"/>
        <v>#DIV/0!</v>
      </c>
      <c r="G263" s="159" t="e">
        <f t="shared" si="126"/>
        <v>#DIV/0!</v>
      </c>
      <c r="H263" s="159" t="e">
        <f t="shared" si="126"/>
        <v>#DIV/0!</v>
      </c>
    </row>
    <row r="264" spans="3:10" x14ac:dyDescent="0.3">
      <c r="C264" s="209" t="str">
        <f t="shared" si="123"/>
        <v>Replacing inefficient electricity devices - washing machine</v>
      </c>
      <c r="D264" s="207" t="s">
        <v>272</v>
      </c>
      <c r="E264" s="159" t="e">
        <f t="shared" si="124"/>
        <v>#DIV/0!</v>
      </c>
      <c r="F264" s="159" t="e">
        <f t="shared" si="126"/>
        <v>#DIV/0!</v>
      </c>
      <c r="G264" s="159" t="e">
        <f t="shared" si="126"/>
        <v>#DIV/0!</v>
      </c>
      <c r="H264" s="159" t="e">
        <f t="shared" si="126"/>
        <v>#DIV/0!</v>
      </c>
    </row>
    <row r="265" spans="3:10" x14ac:dyDescent="0.3">
      <c r="C265" s="209" t="str">
        <f t="shared" si="123"/>
        <v>Replacing inefficient electricity devices - dish washer</v>
      </c>
      <c r="D265" s="207" t="s">
        <v>272</v>
      </c>
      <c r="E265" s="159" t="e">
        <f t="shared" si="124"/>
        <v>#DIV/0!</v>
      </c>
      <c r="F265" s="159" t="e">
        <f t="shared" si="126"/>
        <v>#DIV/0!</v>
      </c>
      <c r="G265" s="159" t="e">
        <f t="shared" si="126"/>
        <v>#DIV/0!</v>
      </c>
      <c r="H265" s="159" t="e">
        <f t="shared" si="126"/>
        <v>#DIV/0!</v>
      </c>
    </row>
    <row r="267" spans="3:10" x14ac:dyDescent="0.3">
      <c r="C267" s="51" t="s">
        <v>551</v>
      </c>
    </row>
    <row r="268" spans="3:10" x14ac:dyDescent="0.3">
      <c r="C268" s="209" t="str">
        <f t="shared" ref="C268:C273" si="127">C260</f>
        <v>Replacing old circulation pumps for domestic hot water transport</v>
      </c>
      <c r="D268" s="207" t="s">
        <v>69</v>
      </c>
      <c r="E268" s="159" t="e">
        <f t="shared" ref="E268:E273" si="128">E260*$J169</f>
        <v>#DIV/0!</v>
      </c>
      <c r="F268" s="159" t="e">
        <f t="shared" ref="F268:H268" si="129">F260*$J169</f>
        <v>#DIV/0!</v>
      </c>
      <c r="G268" s="159" t="e">
        <f t="shared" si="129"/>
        <v>#DIV/0!</v>
      </c>
      <c r="H268" s="159" t="e">
        <f t="shared" si="129"/>
        <v>#DIV/0!</v>
      </c>
      <c r="J268" s="45" t="e">
        <f>SUM(E268:H268)</f>
        <v>#DIV/0!</v>
      </c>
    </row>
    <row r="269" spans="3:10" x14ac:dyDescent="0.3">
      <c r="C269" s="209" t="str">
        <f t="shared" si="127"/>
        <v>Replacing old circulation pumps for space heat water transport</v>
      </c>
      <c r="D269" s="207" t="s">
        <v>69</v>
      </c>
      <c r="E269" s="159" t="e">
        <f t="shared" si="128"/>
        <v>#DIV/0!</v>
      </c>
      <c r="F269" s="159" t="e">
        <f t="shared" ref="F269:H273" si="130">F261*$J170</f>
        <v>#DIV/0!</v>
      </c>
      <c r="G269" s="159" t="e">
        <f t="shared" si="130"/>
        <v>#DIV/0!</v>
      </c>
      <c r="H269" s="159" t="e">
        <f t="shared" si="130"/>
        <v>#DIV/0!</v>
      </c>
      <c r="J269" s="45" t="e">
        <f t="shared" ref="J269:J273" si="131">SUM(E269:H269)</f>
        <v>#DIV/0!</v>
      </c>
    </row>
    <row r="270" spans="3:10" x14ac:dyDescent="0.3">
      <c r="C270" s="209" t="str">
        <f t="shared" si="127"/>
        <v>Replacing inefficient electricity devices - refrigerator</v>
      </c>
      <c r="D270" s="207" t="s">
        <v>69</v>
      </c>
      <c r="E270" s="159" t="e">
        <f t="shared" si="128"/>
        <v>#DIV/0!</v>
      </c>
      <c r="F270" s="159" t="e">
        <f t="shared" si="130"/>
        <v>#DIV/0!</v>
      </c>
      <c r="G270" s="159" t="e">
        <f t="shared" si="130"/>
        <v>#DIV/0!</v>
      </c>
      <c r="H270" s="159" t="e">
        <f t="shared" si="130"/>
        <v>#DIV/0!</v>
      </c>
      <c r="J270" s="45" t="e">
        <f t="shared" si="131"/>
        <v>#DIV/0!</v>
      </c>
    </row>
    <row r="271" spans="3:10" x14ac:dyDescent="0.3">
      <c r="C271" s="209" t="str">
        <f t="shared" si="127"/>
        <v>Replacing inefficient electricity devices - freezer</v>
      </c>
      <c r="D271" s="207" t="s">
        <v>69</v>
      </c>
      <c r="E271" s="159" t="e">
        <f t="shared" si="128"/>
        <v>#DIV/0!</v>
      </c>
      <c r="F271" s="159" t="e">
        <f t="shared" si="130"/>
        <v>#DIV/0!</v>
      </c>
      <c r="G271" s="159" t="e">
        <f t="shared" si="130"/>
        <v>#DIV/0!</v>
      </c>
      <c r="H271" s="159" t="e">
        <f t="shared" si="130"/>
        <v>#DIV/0!</v>
      </c>
      <c r="J271" s="45" t="e">
        <f t="shared" si="131"/>
        <v>#DIV/0!</v>
      </c>
    </row>
    <row r="272" spans="3:10" x14ac:dyDescent="0.3">
      <c r="C272" s="209" t="str">
        <f t="shared" si="127"/>
        <v>Replacing inefficient electricity devices - washing machine</v>
      </c>
      <c r="D272" s="207" t="s">
        <v>69</v>
      </c>
      <c r="E272" s="159" t="e">
        <f t="shared" si="128"/>
        <v>#DIV/0!</v>
      </c>
      <c r="F272" s="159" t="e">
        <f t="shared" si="130"/>
        <v>#DIV/0!</v>
      </c>
      <c r="G272" s="159" t="e">
        <f t="shared" si="130"/>
        <v>#DIV/0!</v>
      </c>
      <c r="H272" s="159" t="e">
        <f t="shared" si="130"/>
        <v>#DIV/0!</v>
      </c>
      <c r="J272" s="45" t="e">
        <f t="shared" si="131"/>
        <v>#DIV/0!</v>
      </c>
    </row>
    <row r="273" spans="3:10" x14ac:dyDescent="0.3">
      <c r="C273" s="209" t="str">
        <f t="shared" si="127"/>
        <v>Replacing inefficient electricity devices - dish washer</v>
      </c>
      <c r="D273" s="207" t="s">
        <v>69</v>
      </c>
      <c r="E273" s="159" t="e">
        <f t="shared" si="128"/>
        <v>#DIV/0!</v>
      </c>
      <c r="F273" s="159" t="e">
        <f t="shared" si="130"/>
        <v>#DIV/0!</v>
      </c>
      <c r="G273" s="159" t="e">
        <f t="shared" si="130"/>
        <v>#DIV/0!</v>
      </c>
      <c r="H273" s="159" t="e">
        <f t="shared" si="130"/>
        <v>#DIV/0!</v>
      </c>
      <c r="J273" s="45" t="e">
        <f t="shared" si="131"/>
        <v>#DIV/0!</v>
      </c>
    </row>
  </sheetData>
  <sheetProtection algorithmName="SHA-512" hashValue="xtGhNaFuPls9DIVaj4Cye1w0pVXYuwTUSzKMRaTboJizFK2qIUNnAkpREEuikDeUSaLpzYW+5Bzwdg1qBalO2Q==" saltValue="yw+Oy/b+rTLrn0KpEtnNcw==" spinCount="100000" sheet="1" objects="1" scenarios="1"/>
  <mergeCells count="8">
    <mergeCell ref="E178:F178"/>
    <mergeCell ref="G178:H178"/>
    <mergeCell ref="E6:F6"/>
    <mergeCell ref="G6:H6"/>
    <mergeCell ref="E26:F26"/>
    <mergeCell ref="G26:H26"/>
    <mergeCell ref="E132:F132"/>
    <mergeCell ref="G132:H132"/>
  </mergeCells>
  <phoneticPr fontId="21" type="noConversion"/>
  <hyperlinks>
    <hyperlink ref="M9" r:id="rId1" xr:uid="{937587E5-0745-4C29-88A3-40855A15ABCE}"/>
    <hyperlink ref="M10" r:id="rId2" location="c28843" xr:uid="{655F116E-E47F-4DFA-9F3A-FCBE34E704A9}"/>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F773B5D3798D440B192DE608DBA88B9" ma:contentTypeVersion="13" ma:contentTypeDescription="Ein neues Dokument erstellen." ma:contentTypeScope="" ma:versionID="147999f7fe8bcd74aeeb7380182f4e08">
  <xsd:schema xmlns:xsd="http://www.w3.org/2001/XMLSchema" xmlns:xs="http://www.w3.org/2001/XMLSchema" xmlns:p="http://schemas.microsoft.com/office/2006/metadata/properties" xmlns:ns2="6c3aedd3-7fb5-4908-a6a1-f0bc43c43b08" xmlns:ns3="814c9396-b0a0-4e80-88e3-6802031b1527" targetNamespace="http://schemas.microsoft.com/office/2006/metadata/properties" ma:root="true" ma:fieldsID="92ffbc21a73da694c672ab470664b780" ns2:_="" ns3:_="">
    <xsd:import namespace="6c3aedd3-7fb5-4908-a6a1-f0bc43c43b08"/>
    <xsd:import namespace="814c9396-b0a0-4e80-88e3-6802031b152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edd3-7fb5-4908-a6a1-f0bc43c43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1a4b58a0-9718-4846-9899-380a9c6e2507" ma:termSetId="09814cd3-568e-fe90-9814-8d621ff8fb84" ma:anchorId="fba54fb3-c3e1-fe81-a776-ca4b69148c4d" ma:open="true" ma:isKeyword="false">
      <xsd:complexType>
        <xsd:sequence>
          <xsd:element ref="pc:Terms" minOccurs="0" maxOccurs="1"/>
        </xsd:sequence>
      </xsd:complex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4c9396-b0a0-4e80-88e3-6802031b152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adbc10f-449b-485d-9490-7d7602e34e80}" ma:internalName="TaxCatchAll" ma:showField="CatchAllData" ma:web="814c9396-b0a0-4e80-88e3-6802031b15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c3aedd3-7fb5-4908-a6a1-f0bc43c43b08">
      <Terms xmlns="http://schemas.microsoft.com/office/infopath/2007/PartnerControls"/>
    </lcf76f155ced4ddcb4097134ff3c332f>
    <TaxCatchAll xmlns="814c9396-b0a0-4e80-88e3-6802031b152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3F9AC7-FDEF-42A3-8814-D8643AE258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edd3-7fb5-4908-a6a1-f0bc43c43b08"/>
    <ds:schemaRef ds:uri="814c9396-b0a0-4e80-88e3-6802031b15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598BC4-1818-486A-87D2-C913CCA0D056}">
  <ds:schemaRefs>
    <ds:schemaRef ds:uri="http://www.w3.org/XML/1998/namespace"/>
    <ds:schemaRef ds:uri="http://purl.org/dc/terms/"/>
    <ds:schemaRef ds:uri="http://schemas.microsoft.com/office/2006/documentManagement/types"/>
    <ds:schemaRef ds:uri="http://purl.org/dc/elements/1.1/"/>
    <ds:schemaRef ds:uri="http://purl.org/dc/dcmitype/"/>
    <ds:schemaRef ds:uri="814c9396-b0a0-4e80-88e3-6802031b1527"/>
    <ds:schemaRef ds:uri="6c3aedd3-7fb5-4908-a6a1-f0bc43c43b08"/>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55117E05-A49A-4B17-BDDC-0B6D25BC95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19</vt:i4>
      </vt:variant>
    </vt:vector>
  </HeadingPairs>
  <TitlesOfParts>
    <vt:vector size="19" baseType="lpstr">
      <vt:lpstr>Overview</vt:lpstr>
      <vt:lpstr>Data Input</vt:lpstr>
      <vt:lpstr>Campaign Input</vt:lpstr>
      <vt:lpstr>Dropdowns</vt:lpstr>
      <vt:lpstr>Model homes</vt:lpstr>
      <vt:lpstr>nrg_bal_peh</vt:lpstr>
      <vt:lpstr>SPH_temp_behav</vt:lpstr>
      <vt:lpstr>SPH_VL_Seal</vt:lpstr>
      <vt:lpstr>SPH_Pipe_insul</vt:lpstr>
      <vt:lpstr>SPH_TL_UC</vt:lpstr>
      <vt:lpstr>DHW_Pipe_insul</vt:lpstr>
      <vt:lpstr>DHW_shower vs. bath</vt:lpstr>
      <vt:lpstr>DHW_lowered shower-time</vt:lpstr>
      <vt:lpstr>DHW_dish_washer vs. hand</vt:lpstr>
      <vt:lpstr>DHW_cold vs. warm</vt:lpstr>
      <vt:lpstr>DHW_small_invest</vt:lpstr>
      <vt:lpstr>eDevices_general+behavior</vt:lpstr>
      <vt:lpstr>eDevices_small_invest</vt:lpstr>
      <vt:lpstr>eDevices_high_invest</vt:lpstr>
    </vt:vector>
  </TitlesOfParts>
  <Manager/>
  <Company>Bundesrechenzentrum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M365 Copilot</dc:creator>
  <cp:keywords/>
  <dc:description/>
  <cp:lastModifiedBy>Altan Sahin</cp:lastModifiedBy>
  <cp:revision/>
  <dcterms:created xsi:type="dcterms:W3CDTF">2026-09-29T19:54:15Z</dcterms:created>
  <dcterms:modified xsi:type="dcterms:W3CDTF">2026-10-08T19:16:59Z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0x0101006F773B5D3798D440B192DE608DBA88B9</vt:lpwstr>
  </property>
  <property fmtid="{D5CDD505-2E9C-101B-9397-08002B2CF9AE}" pid="3" name="MediaServiceImageTags">
    <vt:lpwstr/>
  </property>
</Properties>
</file>